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1485" windowWidth="10200" windowHeight="6330"/>
  </bookViews>
  <sheets>
    <sheet name="для Титовой" sheetId="35" r:id="rId1"/>
    <sheet name="НА 16445585" sheetId="32" r:id="rId2"/>
    <sheet name="СВОД" sheetId="34" r:id="rId3"/>
  </sheets>
  <definedNames>
    <definedName name="_xlnm._FilterDatabase" localSheetId="1" hidden="1">'НА 16445585'!$B$22:$BT$326</definedName>
    <definedName name="_xlnm._FilterDatabase" localSheetId="2" hidden="1">СВОД!$B$22:$BT$326</definedName>
    <definedName name="_xlnm.Print_Titles" localSheetId="1">'НА 16445585'!$22:$25</definedName>
    <definedName name="_xlnm.Print_Titles" localSheetId="2">СВОД!$22:$25</definedName>
    <definedName name="_xlnm.Print_Area" localSheetId="1">'НА 16445585'!$B$1:$BS$330</definedName>
    <definedName name="_xlnm.Print_Area" localSheetId="2">СВОД!$B$1:$BS$330</definedName>
  </definedNames>
  <calcPr calcId="145621"/>
</workbook>
</file>

<file path=xl/calcChain.xml><?xml version="1.0" encoding="utf-8"?>
<calcChain xmlns="http://schemas.openxmlformats.org/spreadsheetml/2006/main">
  <c r="G25" i="35" l="1"/>
  <c r="D25" i="35"/>
  <c r="D17" i="35" s="1"/>
  <c r="E25" i="35"/>
  <c r="F25" i="35"/>
  <c r="C25" i="35"/>
  <c r="E35" i="35"/>
  <c r="G35" i="35"/>
  <c r="E16" i="35"/>
  <c r="G16" i="35"/>
  <c r="G11" i="35"/>
  <c r="F45" i="35"/>
  <c r="F44" i="35" s="1"/>
  <c r="F36" i="35"/>
  <c r="F35" i="35" s="1"/>
  <c r="F28" i="35"/>
  <c r="F27" i="35" s="1"/>
  <c r="F12" i="35"/>
  <c r="F11" i="35" s="1"/>
  <c r="F4" i="35"/>
  <c r="F3" i="35" s="1"/>
  <c r="D45" i="35"/>
  <c r="D44" i="35" s="1"/>
  <c r="D36" i="35"/>
  <c r="D35" i="35" s="1"/>
  <c r="D28" i="35"/>
  <c r="D27" i="35" s="1"/>
  <c r="D12" i="35"/>
  <c r="D11" i="35" s="1"/>
  <c r="D4" i="35"/>
  <c r="D3" i="35" s="1"/>
  <c r="C45" i="35"/>
  <c r="C44" i="35" s="1"/>
  <c r="C36" i="35"/>
  <c r="C35" i="35" s="1"/>
  <c r="C28" i="35"/>
  <c r="C27" i="35" s="1"/>
  <c r="C12" i="35"/>
  <c r="C11" i="35" s="1"/>
  <c r="C4" i="35"/>
  <c r="C3" i="35" s="1"/>
  <c r="C17" i="35" l="1"/>
  <c r="C16" i="35" s="1"/>
  <c r="D16" i="35"/>
  <c r="F17" i="35"/>
  <c r="AE188" i="32"/>
  <c r="AE142" i="32"/>
  <c r="F16" i="35" l="1"/>
  <c r="BJ324" i="34"/>
  <c r="BH324" i="34"/>
  <c r="BF324" i="34" s="1"/>
  <c r="BE324" i="34"/>
  <c r="BC324" i="34"/>
  <c r="AW324" i="34"/>
  <c r="AU324" i="34"/>
  <c r="AR324" i="34"/>
  <c r="AN324" i="34" s="1"/>
  <c r="AH324" i="34"/>
  <c r="AF324" i="34"/>
  <c r="AC324" i="34"/>
  <c r="AD324" i="34" s="1"/>
  <c r="N324" i="34"/>
  <c r="BC323" i="34"/>
  <c r="AW323" i="34"/>
  <c r="AV323" i="34"/>
  <c r="AU323" i="34"/>
  <c r="AS323" i="34" s="1"/>
  <c r="AR323" i="34"/>
  <c r="AI323" i="34"/>
  <c r="AH323" i="34"/>
  <c r="AC323" i="34"/>
  <c r="U323" i="34"/>
  <c r="BJ322" i="34"/>
  <c r="BH322" i="34"/>
  <c r="BH321" i="34" s="1"/>
  <c r="BH320" i="34" s="1"/>
  <c r="BE322" i="34"/>
  <c r="BC322" i="34" s="1"/>
  <c r="AV322" i="34"/>
  <c r="AW322" i="34" s="1"/>
  <c r="AI322" i="34"/>
  <c r="N322" i="34" s="1"/>
  <c r="AH322" i="34"/>
  <c r="AH321" i="34" s="1"/>
  <c r="AH320" i="34" s="1"/>
  <c r="AF322" i="34"/>
  <c r="AC322" i="34"/>
  <c r="AD322" i="34" s="1"/>
  <c r="Z322" i="34"/>
  <c r="X322" i="34"/>
  <c r="X321" i="34" s="1"/>
  <c r="X320" i="34" s="1"/>
  <c r="U322" i="34"/>
  <c r="V322" i="34" s="1"/>
  <c r="BT321" i="34"/>
  <c r="BS321" i="34"/>
  <c r="BS320" i="34" s="1"/>
  <c r="BR321" i="34"/>
  <c r="BQ321" i="34"/>
  <c r="BP321" i="34"/>
  <c r="BO321" i="34"/>
  <c r="BO320" i="34" s="1"/>
  <c r="BN321" i="34"/>
  <c r="BM321" i="34"/>
  <c r="BL321" i="34"/>
  <c r="BK321" i="34"/>
  <c r="BK320" i="34" s="1"/>
  <c r="BJ321" i="34"/>
  <c r="BI321" i="34"/>
  <c r="BG321" i="34"/>
  <c r="BE321" i="34"/>
  <c r="BC321" i="34" s="1"/>
  <c r="AZ321" i="34"/>
  <c r="AY321" i="34"/>
  <c r="AV321" i="34"/>
  <c r="AV320" i="34" s="1"/>
  <c r="AU321" i="34"/>
  <c r="AT321" i="34"/>
  <c r="AQ321" i="34"/>
  <c r="AO321" i="34"/>
  <c r="AO320" i="34" s="1"/>
  <c r="AM321" i="34"/>
  <c r="AL321" i="34"/>
  <c r="AK321" i="34"/>
  <c r="AJ321" i="34"/>
  <c r="AJ320" i="34" s="1"/>
  <c r="AI321" i="34"/>
  <c r="AG321" i="34"/>
  <c r="AF321" i="34"/>
  <c r="AF320" i="34" s="1"/>
  <c r="AE321" i="34"/>
  <c r="AB321" i="34"/>
  <c r="AA321" i="34"/>
  <c r="AA320" i="34" s="1"/>
  <c r="Z321" i="34"/>
  <c r="Y321" i="34"/>
  <c r="W321" i="34"/>
  <c r="W320" i="34" s="1"/>
  <c r="U321" i="34"/>
  <c r="T321" i="34"/>
  <c r="M321" i="34"/>
  <c r="M320" i="34" s="1"/>
  <c r="G321" i="34"/>
  <c r="F321" i="34"/>
  <c r="BT320" i="34"/>
  <c r="BR320" i="34"/>
  <c r="BQ320" i="34"/>
  <c r="BP320" i="34"/>
  <c r="BN320" i="34"/>
  <c r="BM320" i="34"/>
  <c r="BL320" i="34"/>
  <c r="BJ320" i="34"/>
  <c r="BI320" i="34"/>
  <c r="BG320" i="34"/>
  <c r="BE320" i="34"/>
  <c r="BC320" i="34"/>
  <c r="AZ320" i="34"/>
  <c r="AY320" i="34"/>
  <c r="AU320" i="34"/>
  <c r="AT320" i="34"/>
  <c r="AQ320" i="34"/>
  <c r="AM320" i="34"/>
  <c r="AL320" i="34"/>
  <c r="AK320" i="34"/>
  <c r="AI320" i="34"/>
  <c r="AG320" i="34"/>
  <c r="AE320" i="34"/>
  <c r="AB320" i="34"/>
  <c r="Z320" i="34"/>
  <c r="Y320" i="34"/>
  <c r="U320" i="34"/>
  <c r="T320" i="34"/>
  <c r="G320" i="34"/>
  <c r="F320" i="34"/>
  <c r="BJ319" i="34"/>
  <c r="BH319" i="34"/>
  <c r="BE319" i="34"/>
  <c r="BC319" i="34" s="1"/>
  <c r="AW319" i="34"/>
  <c r="AU319" i="34"/>
  <c r="AS319" i="34" s="1"/>
  <c r="AR319" i="34"/>
  <c r="AX319" i="34" s="1"/>
  <c r="AN319" i="34"/>
  <c r="AH319" i="34"/>
  <c r="AF319" i="34"/>
  <c r="AD319" i="34" s="1"/>
  <c r="AC319" i="34"/>
  <c r="AI319" i="34" s="1"/>
  <c r="N319" i="34" s="1"/>
  <c r="Z319" i="34"/>
  <c r="X319" i="34"/>
  <c r="V319" i="34" s="1"/>
  <c r="U319" i="34"/>
  <c r="S319" i="34"/>
  <c r="BJ318" i="34"/>
  <c r="BH318" i="34"/>
  <c r="BF318" i="34" s="1"/>
  <c r="BE318" i="34"/>
  <c r="BC318" i="34" s="1"/>
  <c r="AW318" i="34"/>
  <c r="AU318" i="34"/>
  <c r="AR318" i="34"/>
  <c r="AX318" i="34" s="1"/>
  <c r="AH318" i="34"/>
  <c r="AF318" i="34"/>
  <c r="AC318" i="34"/>
  <c r="S318" i="34" s="1"/>
  <c r="Z318" i="34"/>
  <c r="X318" i="34"/>
  <c r="U318" i="34"/>
  <c r="AP318" i="34" s="1"/>
  <c r="BJ317" i="34"/>
  <c r="BH317" i="34"/>
  <c r="BE317" i="34"/>
  <c r="BC317" i="34" s="1"/>
  <c r="AW317" i="34"/>
  <c r="AU317" i="34"/>
  <c r="AR317" i="34"/>
  <c r="AX317" i="34" s="1"/>
  <c r="AH317" i="34"/>
  <c r="AF317" i="34"/>
  <c r="AC317" i="34"/>
  <c r="AI317" i="34" s="1"/>
  <c r="N317" i="34" s="1"/>
  <c r="Z317" i="34"/>
  <c r="X317" i="34"/>
  <c r="V317" i="34" s="1"/>
  <c r="U317" i="34"/>
  <c r="AP317" i="34" s="1"/>
  <c r="S317" i="34"/>
  <c r="BJ316" i="34"/>
  <c r="BH316" i="34"/>
  <c r="BF316" i="34" s="1"/>
  <c r="BE316" i="34"/>
  <c r="BC316" i="34" s="1"/>
  <c r="AW316" i="34"/>
  <c r="AU316" i="34"/>
  <c r="AR316" i="34"/>
  <c r="AX316" i="34" s="1"/>
  <c r="AH316" i="34"/>
  <c r="AF316" i="34"/>
  <c r="AC316" i="34"/>
  <c r="S316" i="34" s="1"/>
  <c r="Z316" i="34"/>
  <c r="X316" i="34"/>
  <c r="V316" i="34" s="1"/>
  <c r="U316" i="34"/>
  <c r="BJ315" i="34"/>
  <c r="BH315" i="34"/>
  <c r="BE315" i="34"/>
  <c r="BC315" i="34" s="1"/>
  <c r="AW315" i="34"/>
  <c r="AU315" i="34"/>
  <c r="AS315" i="34" s="1"/>
  <c r="AR315" i="34"/>
  <c r="AX315" i="34" s="1"/>
  <c r="AN315" i="34"/>
  <c r="AH315" i="34"/>
  <c r="AF315" i="34"/>
  <c r="AD315" i="34" s="1"/>
  <c r="AC315" i="34"/>
  <c r="AI315" i="34" s="1"/>
  <c r="N315" i="34" s="1"/>
  <c r="Z315" i="34"/>
  <c r="X315" i="34"/>
  <c r="U315" i="34"/>
  <c r="AP315" i="34" s="1"/>
  <c r="S315" i="34"/>
  <c r="BJ314" i="34"/>
  <c r="BF314" i="34" s="1"/>
  <c r="BH314" i="34"/>
  <c r="BE314" i="34"/>
  <c r="BC314" i="34"/>
  <c r="AW314" i="34"/>
  <c r="AU314" i="34"/>
  <c r="AS314" i="34" s="1"/>
  <c r="AR314" i="34"/>
  <c r="AX314" i="34" s="1"/>
  <c r="AH314" i="34"/>
  <c r="AF314" i="34"/>
  <c r="AC314" i="34"/>
  <c r="AI314" i="34" s="1"/>
  <c r="N314" i="34" s="1"/>
  <c r="Z314" i="34"/>
  <c r="X314" i="34"/>
  <c r="V314" i="34" s="1"/>
  <c r="U314" i="34"/>
  <c r="S314" i="34"/>
  <c r="BJ313" i="34"/>
  <c r="BH313" i="34"/>
  <c r="BF313" i="34" s="1"/>
  <c r="BE313" i="34"/>
  <c r="BC313" i="34" s="1"/>
  <c r="AV313" i="34"/>
  <c r="AW313" i="34" s="1"/>
  <c r="AS313" i="34" s="1"/>
  <c r="AU313" i="34"/>
  <c r="AH313" i="34"/>
  <c r="AF313" i="34"/>
  <c r="AC313" i="34"/>
  <c r="AI313" i="34" s="1"/>
  <c r="N313" i="34" s="1"/>
  <c r="Z313" i="34"/>
  <c r="X313" i="34"/>
  <c r="V313" i="34" s="1"/>
  <c r="U313" i="34"/>
  <c r="S313" i="34"/>
  <c r="BJ312" i="34"/>
  <c r="BH312" i="34"/>
  <c r="BF312" i="34" s="1"/>
  <c r="BE312" i="34"/>
  <c r="BC312" i="34" s="1"/>
  <c r="AV312" i="34"/>
  <c r="AW312" i="34" s="1"/>
  <c r="AS312" i="34" s="1"/>
  <c r="AU312" i="34"/>
  <c r="AH312" i="34"/>
  <c r="AF312" i="34"/>
  <c r="AC312" i="34"/>
  <c r="S312" i="34" s="1"/>
  <c r="Z312" i="34"/>
  <c r="X312" i="34"/>
  <c r="V312" i="34" s="1"/>
  <c r="U312" i="34"/>
  <c r="BJ311" i="34"/>
  <c r="BH311" i="34"/>
  <c r="BE311" i="34"/>
  <c r="BC311" i="34" s="1"/>
  <c r="AV311" i="34"/>
  <c r="AW311" i="34" s="1"/>
  <c r="AU311" i="34"/>
  <c r="AH311" i="34"/>
  <c r="AF311" i="34"/>
  <c r="AD311" i="34" s="1"/>
  <c r="AC311" i="34"/>
  <c r="S311" i="34" s="1"/>
  <c r="Z311" i="34"/>
  <c r="X311" i="34"/>
  <c r="U311" i="34"/>
  <c r="AP311" i="34" s="1"/>
  <c r="BJ310" i="34"/>
  <c r="BH310" i="34"/>
  <c r="BF310" i="34" s="1"/>
  <c r="BE310" i="34"/>
  <c r="BC310" i="34" s="1"/>
  <c r="AW310" i="34"/>
  <c r="AU310" i="34"/>
  <c r="AR310" i="34"/>
  <c r="AX310" i="34" s="1"/>
  <c r="AH310" i="34"/>
  <c r="AD310" i="34" s="1"/>
  <c r="AF310" i="34"/>
  <c r="AC310" i="34"/>
  <c r="AI310" i="34" s="1"/>
  <c r="N310" i="34" s="1"/>
  <c r="Z310" i="34"/>
  <c r="X310" i="34"/>
  <c r="U310" i="34"/>
  <c r="AP310" i="34" s="1"/>
  <c r="S310" i="34"/>
  <c r="BJ309" i="34"/>
  <c r="BH309" i="34"/>
  <c r="BE309" i="34"/>
  <c r="BC309" i="34" s="1"/>
  <c r="AV309" i="34"/>
  <c r="AU309" i="34"/>
  <c r="AH309" i="34"/>
  <c r="AF309" i="34"/>
  <c r="AC309" i="34"/>
  <c r="AI309" i="34" s="1"/>
  <c r="Y309" i="34"/>
  <c r="Z309" i="34" s="1"/>
  <c r="X309" i="34"/>
  <c r="BJ308" i="34"/>
  <c r="BH308" i="34"/>
  <c r="BE308" i="34"/>
  <c r="BC308" i="34" s="1"/>
  <c r="AV308" i="34"/>
  <c r="AW308" i="34" s="1"/>
  <c r="AU308" i="34"/>
  <c r="AR308" i="34"/>
  <c r="AH308" i="34"/>
  <c r="AF308" i="34"/>
  <c r="AC308" i="34"/>
  <c r="AI308" i="34" s="1"/>
  <c r="N308" i="34" s="1"/>
  <c r="Z308" i="34"/>
  <c r="X308" i="34"/>
  <c r="V308" i="34" s="1"/>
  <c r="U308" i="34"/>
  <c r="BJ307" i="34"/>
  <c r="BF307" i="34" s="1"/>
  <c r="BH307" i="34"/>
  <c r="BE307" i="34"/>
  <c r="BC307" i="34"/>
  <c r="AV307" i="34"/>
  <c r="AW307" i="34" s="1"/>
  <c r="AU307" i="34"/>
  <c r="AR307" i="34"/>
  <c r="AX307" i="34" s="1"/>
  <c r="AH307" i="34"/>
  <c r="AF307" i="34"/>
  <c r="AD307" i="34" s="1"/>
  <c r="AC307" i="34"/>
  <c r="Z307" i="34"/>
  <c r="X307" i="34"/>
  <c r="V307" i="34" s="1"/>
  <c r="U307" i="34"/>
  <c r="AP307" i="34" s="1"/>
  <c r="BJ306" i="34"/>
  <c r="BH306" i="34"/>
  <c r="BE306" i="34"/>
  <c r="BC306" i="34" s="1"/>
  <c r="AV306" i="34"/>
  <c r="AW306" i="34" s="1"/>
  <c r="AU306" i="34"/>
  <c r="AR306" i="34"/>
  <c r="AH306" i="34"/>
  <c r="AF306" i="34"/>
  <c r="AC306" i="34"/>
  <c r="AI306" i="34" s="1"/>
  <c r="N306" i="34" s="1"/>
  <c r="Y306" i="34"/>
  <c r="Z306" i="34" s="1"/>
  <c r="X306" i="34"/>
  <c r="U306" i="34"/>
  <c r="AP306" i="34" s="1"/>
  <c r="BJ305" i="34"/>
  <c r="BH305" i="34"/>
  <c r="BE305" i="34"/>
  <c r="BC305" i="34" s="1"/>
  <c r="AW305" i="34"/>
  <c r="AU305" i="34"/>
  <c r="AR305" i="34"/>
  <c r="AX305" i="34" s="1"/>
  <c r="AN305" i="34"/>
  <c r="AH305" i="34"/>
  <c r="AF305" i="34"/>
  <c r="AC305" i="34"/>
  <c r="AI305" i="34" s="1"/>
  <c r="N305" i="34" s="1"/>
  <c r="Z305" i="34"/>
  <c r="X305" i="34"/>
  <c r="V305" i="34" s="1"/>
  <c r="U305" i="34"/>
  <c r="BJ304" i="34"/>
  <c r="BH304" i="34"/>
  <c r="BF304" i="34"/>
  <c r="BE304" i="34"/>
  <c r="BC304" i="34"/>
  <c r="AW304" i="34"/>
  <c r="AU304" i="34"/>
  <c r="AS304" i="34" s="1"/>
  <c r="AR304" i="34"/>
  <c r="AX304" i="34" s="1"/>
  <c r="AH304" i="34"/>
  <c r="AF304" i="34"/>
  <c r="AC304" i="34"/>
  <c r="AI304" i="34" s="1"/>
  <c r="N304" i="34" s="1"/>
  <c r="Z304" i="34"/>
  <c r="X304" i="34"/>
  <c r="V304" i="34" s="1"/>
  <c r="U304" i="34"/>
  <c r="AF303" i="34"/>
  <c r="AC303" i="34"/>
  <c r="AI303" i="34" s="1"/>
  <c r="AF302" i="34"/>
  <c r="AC302" i="34"/>
  <c r="AP302" i="34" s="1"/>
  <c r="BJ301" i="34"/>
  <c r="BH301" i="34"/>
  <c r="BE301" i="34"/>
  <c r="BC301" i="34" s="1"/>
  <c r="AW301" i="34"/>
  <c r="AU301" i="34"/>
  <c r="AR301" i="34"/>
  <c r="AX301" i="34" s="1"/>
  <c r="AH301" i="34"/>
  <c r="AF301" i="34"/>
  <c r="AC301" i="34"/>
  <c r="AI301" i="34" s="1"/>
  <c r="N301" i="34" s="1"/>
  <c r="Z301" i="34"/>
  <c r="X301" i="34"/>
  <c r="V301" i="34" s="1"/>
  <c r="U301" i="34"/>
  <c r="S301" i="34"/>
  <c r="I301" i="34"/>
  <c r="BJ300" i="34"/>
  <c r="BH300" i="34"/>
  <c r="BE300" i="34"/>
  <c r="BC300" i="34" s="1"/>
  <c r="AW300" i="34"/>
  <c r="AU300" i="34"/>
  <c r="AS300" i="34" s="1"/>
  <c r="AR300" i="34"/>
  <c r="AX300" i="34" s="1"/>
  <c r="AH300" i="34"/>
  <c r="AE300" i="34"/>
  <c r="AF300" i="34" s="1"/>
  <c r="AC300" i="34"/>
  <c r="AI300" i="34" s="1"/>
  <c r="N300" i="34" s="1"/>
  <c r="Z300" i="34"/>
  <c r="X300" i="34"/>
  <c r="V300" i="34" s="1"/>
  <c r="U300" i="34"/>
  <c r="S300" i="34"/>
  <c r="I300" i="34"/>
  <c r="BJ299" i="34"/>
  <c r="BH299" i="34"/>
  <c r="BE299" i="34"/>
  <c r="BC299" i="34" s="1"/>
  <c r="AW299" i="34"/>
  <c r="AU299" i="34"/>
  <c r="AR299" i="34"/>
  <c r="AX299" i="34" s="1"/>
  <c r="AH299" i="34"/>
  <c r="AF299" i="34"/>
  <c r="AD299" i="34"/>
  <c r="AC299" i="34"/>
  <c r="AI299" i="34" s="1"/>
  <c r="N299" i="34" s="1"/>
  <c r="Z299" i="34"/>
  <c r="X299" i="34"/>
  <c r="U299" i="34"/>
  <c r="AP299" i="34" s="1"/>
  <c r="S299" i="34"/>
  <c r="I299" i="34"/>
  <c r="BJ298" i="34"/>
  <c r="BH298" i="34"/>
  <c r="BF298" i="34" s="1"/>
  <c r="BE298" i="34"/>
  <c r="BC298" i="34" s="1"/>
  <c r="AW298" i="34"/>
  <c r="AU298" i="34"/>
  <c r="AR298" i="34"/>
  <c r="AH298" i="34"/>
  <c r="AF298" i="34"/>
  <c r="AC298" i="34"/>
  <c r="AI298" i="34" s="1"/>
  <c r="N298" i="34" s="1"/>
  <c r="Z298" i="34"/>
  <c r="X298" i="34"/>
  <c r="V298" i="34" s="1"/>
  <c r="U298" i="34"/>
  <c r="S298" i="34"/>
  <c r="I298" i="34"/>
  <c r="BJ297" i="34"/>
  <c r="BH297" i="34"/>
  <c r="BE297" i="34"/>
  <c r="BC297" i="34" s="1"/>
  <c r="AW297" i="34"/>
  <c r="AU297" i="34"/>
  <c r="AS297" i="34" s="1"/>
  <c r="AR297" i="34"/>
  <c r="AX297" i="34" s="1"/>
  <c r="AH297" i="34"/>
  <c r="AD297" i="34" s="1"/>
  <c r="AF297" i="34"/>
  <c r="AC297" i="34"/>
  <c r="AI297" i="34" s="1"/>
  <c r="N297" i="34" s="1"/>
  <c r="Z297" i="34"/>
  <c r="X297" i="34"/>
  <c r="U297" i="34"/>
  <c r="AP297" i="34" s="1"/>
  <c r="S297" i="34"/>
  <c r="I297" i="34"/>
  <c r="BJ296" i="34"/>
  <c r="BH296" i="34"/>
  <c r="BF296" i="34" s="1"/>
  <c r="BE296" i="34"/>
  <c r="BC296" i="34" s="1"/>
  <c r="AW296" i="34"/>
  <c r="AU296" i="34"/>
  <c r="AR296" i="34"/>
  <c r="AX296" i="34" s="1"/>
  <c r="AH296" i="34"/>
  <c r="AF296" i="34"/>
  <c r="AD296" i="34" s="1"/>
  <c r="AC296" i="34"/>
  <c r="AI296" i="34" s="1"/>
  <c r="N296" i="34" s="1"/>
  <c r="Z296" i="34"/>
  <c r="X296" i="34"/>
  <c r="V296" i="34" s="1"/>
  <c r="U296" i="34"/>
  <c r="AP296" i="34" s="1"/>
  <c r="I296" i="34"/>
  <c r="BJ295" i="34"/>
  <c r="BH295" i="34"/>
  <c r="BF295" i="34" s="1"/>
  <c r="BE295" i="34"/>
  <c r="BC295" i="34" s="1"/>
  <c r="AW295" i="34"/>
  <c r="AU295" i="34"/>
  <c r="AR295" i="34"/>
  <c r="AX295" i="34" s="1"/>
  <c r="AH295" i="34"/>
  <c r="AF295" i="34"/>
  <c r="AC295" i="34"/>
  <c r="AI295" i="34" s="1"/>
  <c r="N295" i="34" s="1"/>
  <c r="Z295" i="34"/>
  <c r="X295" i="34"/>
  <c r="V295" i="34" s="1"/>
  <c r="U295" i="34"/>
  <c r="S295" i="34"/>
  <c r="I295" i="34"/>
  <c r="BJ294" i="34"/>
  <c r="BH294" i="34"/>
  <c r="BE294" i="34"/>
  <c r="BC294" i="34" s="1"/>
  <c r="AW294" i="34"/>
  <c r="AU294" i="34"/>
  <c r="AR294" i="34"/>
  <c r="AX294" i="34" s="1"/>
  <c r="AH294" i="34"/>
  <c r="AF294" i="34"/>
  <c r="AD294" i="34"/>
  <c r="AC294" i="34"/>
  <c r="AI294" i="34" s="1"/>
  <c r="N294" i="34" s="1"/>
  <c r="Z294" i="34"/>
  <c r="X294" i="34"/>
  <c r="V294" i="34"/>
  <c r="U294" i="34"/>
  <c r="AP294" i="34" s="1"/>
  <c r="S294" i="34"/>
  <c r="I294" i="34"/>
  <c r="BJ293" i="34"/>
  <c r="BH293" i="34"/>
  <c r="BE293" i="34"/>
  <c r="BC293" i="34" s="1"/>
  <c r="AW293" i="34"/>
  <c r="AU293" i="34"/>
  <c r="AS293" i="34" s="1"/>
  <c r="AR293" i="34"/>
  <c r="AX293" i="34" s="1"/>
  <c r="AN293" i="34"/>
  <c r="AH293" i="34"/>
  <c r="AF293" i="34"/>
  <c r="AD293" i="34" s="1"/>
  <c r="AC293" i="34"/>
  <c r="AI293" i="34" s="1"/>
  <c r="N293" i="34" s="1"/>
  <c r="Z293" i="34"/>
  <c r="X293" i="34"/>
  <c r="U293" i="34"/>
  <c r="AP293" i="34" s="1"/>
  <c r="S293" i="34"/>
  <c r="I293" i="34"/>
  <c r="BJ292" i="34"/>
  <c r="BH292" i="34"/>
  <c r="BF292" i="34" s="1"/>
  <c r="BE292" i="34"/>
  <c r="BC292" i="34" s="1"/>
  <c r="AW292" i="34"/>
  <c r="AU292" i="34"/>
  <c r="AR292" i="34"/>
  <c r="AX292" i="34" s="1"/>
  <c r="AH292" i="34"/>
  <c r="AF292" i="34"/>
  <c r="AD292" i="34" s="1"/>
  <c r="AC292" i="34"/>
  <c r="Z292" i="34"/>
  <c r="X292" i="34"/>
  <c r="V292" i="34" s="1"/>
  <c r="U292" i="34"/>
  <c r="AP292" i="34" s="1"/>
  <c r="I292" i="34"/>
  <c r="BJ291" i="34"/>
  <c r="BH291" i="34"/>
  <c r="BF291" i="34" s="1"/>
  <c r="BE291" i="34"/>
  <c r="BC291" i="34" s="1"/>
  <c r="AW291" i="34"/>
  <c r="AU291" i="34"/>
  <c r="AR291" i="34"/>
  <c r="AH291" i="34"/>
  <c r="AF291" i="34"/>
  <c r="AC291" i="34"/>
  <c r="AI291" i="34" s="1"/>
  <c r="N291" i="34" s="1"/>
  <c r="Z291" i="34"/>
  <c r="X291" i="34"/>
  <c r="V291" i="34" s="1"/>
  <c r="U291" i="34"/>
  <c r="S291" i="34"/>
  <c r="I291" i="34"/>
  <c r="BJ290" i="34"/>
  <c r="BH290" i="34"/>
  <c r="BE290" i="34"/>
  <c r="BC290" i="34" s="1"/>
  <c r="AW290" i="34"/>
  <c r="AU290" i="34"/>
  <c r="AR290" i="34"/>
  <c r="AX290" i="34" s="1"/>
  <c r="AH290" i="34"/>
  <c r="AD290" i="34" s="1"/>
  <c r="AF290" i="34"/>
  <c r="AC290" i="34"/>
  <c r="AI290" i="34" s="1"/>
  <c r="N290" i="34" s="1"/>
  <c r="Z290" i="34"/>
  <c r="V290" i="34" s="1"/>
  <c r="X290" i="34"/>
  <c r="U290" i="34"/>
  <c r="AP290" i="34" s="1"/>
  <c r="S290" i="34"/>
  <c r="I290" i="34"/>
  <c r="BJ289" i="34"/>
  <c r="BH289" i="34"/>
  <c r="BE289" i="34"/>
  <c r="BC289" i="34" s="1"/>
  <c r="AW289" i="34"/>
  <c r="AU289" i="34"/>
  <c r="AS289" i="34" s="1"/>
  <c r="AR289" i="34"/>
  <c r="AX289" i="34" s="1"/>
  <c r="AN289" i="34"/>
  <c r="AH289" i="34"/>
  <c r="AF289" i="34"/>
  <c r="AD289" i="34" s="1"/>
  <c r="AC289" i="34"/>
  <c r="AI289" i="34" s="1"/>
  <c r="N289" i="34" s="1"/>
  <c r="Z289" i="34"/>
  <c r="X289" i="34"/>
  <c r="V289" i="34" s="1"/>
  <c r="U289" i="34"/>
  <c r="S289" i="34"/>
  <c r="I289" i="34"/>
  <c r="BJ288" i="34"/>
  <c r="BH288" i="34"/>
  <c r="BE288" i="34"/>
  <c r="BC288" i="34" s="1"/>
  <c r="AW288" i="34"/>
  <c r="AU288" i="34"/>
  <c r="AS288" i="34" s="1"/>
  <c r="AR288" i="34"/>
  <c r="AX288" i="34" s="1"/>
  <c r="AN288" i="34"/>
  <c r="AH288" i="34"/>
  <c r="AF288" i="34"/>
  <c r="AD288" i="34" s="1"/>
  <c r="AC288" i="34"/>
  <c r="AI288" i="34" s="1"/>
  <c r="N288" i="34" s="1"/>
  <c r="Z288" i="34"/>
  <c r="X288" i="34"/>
  <c r="U288" i="34"/>
  <c r="AP288" i="34" s="1"/>
  <c r="S288" i="34"/>
  <c r="I288" i="34"/>
  <c r="BJ287" i="34"/>
  <c r="BH287" i="34"/>
  <c r="BF287" i="34" s="1"/>
  <c r="BE287" i="34"/>
  <c r="BC287" i="34" s="1"/>
  <c r="AW287" i="34"/>
  <c r="AU287" i="34"/>
  <c r="AR287" i="34"/>
  <c r="AX287" i="34" s="1"/>
  <c r="AH287" i="34"/>
  <c r="AF287" i="34"/>
  <c r="AC287" i="34"/>
  <c r="AI287" i="34" s="1"/>
  <c r="N287" i="34" s="1"/>
  <c r="Z287" i="34"/>
  <c r="X287" i="34"/>
  <c r="V287" i="34" s="1"/>
  <c r="U287" i="34"/>
  <c r="S287" i="34"/>
  <c r="I287" i="34"/>
  <c r="BJ286" i="34"/>
  <c r="BH286" i="34"/>
  <c r="BE286" i="34"/>
  <c r="BC286" i="34" s="1"/>
  <c r="AW286" i="34"/>
  <c r="AU286" i="34"/>
  <c r="AR286" i="34"/>
  <c r="AX286" i="34" s="1"/>
  <c r="AN286" i="34"/>
  <c r="AH286" i="34"/>
  <c r="AE286" i="34"/>
  <c r="Z286" i="34"/>
  <c r="X286" i="34"/>
  <c r="V286" i="34" s="1"/>
  <c r="U286" i="34"/>
  <c r="I286" i="34"/>
  <c r="BJ285" i="34"/>
  <c r="BH285" i="34"/>
  <c r="BF285" i="34" s="1"/>
  <c r="BE285" i="34"/>
  <c r="BC285" i="34"/>
  <c r="AW285" i="34"/>
  <c r="AU285" i="34"/>
  <c r="AR285" i="34"/>
  <c r="AX285" i="34" s="1"/>
  <c r="AN285" i="34"/>
  <c r="AH285" i="34"/>
  <c r="AF285" i="34"/>
  <c r="AC285" i="34"/>
  <c r="S285" i="34" s="1"/>
  <c r="Z285" i="34"/>
  <c r="X285" i="34"/>
  <c r="V285" i="34" s="1"/>
  <c r="U285" i="34"/>
  <c r="I285" i="34"/>
  <c r="BJ284" i="34"/>
  <c r="BH284" i="34"/>
  <c r="BF284" i="34" s="1"/>
  <c r="BE284" i="34"/>
  <c r="BC284" i="34"/>
  <c r="AW284" i="34"/>
  <c r="AU284" i="34"/>
  <c r="AS284" i="34" s="1"/>
  <c r="AR284" i="34"/>
  <c r="AX284" i="34" s="1"/>
  <c r="AH284" i="34"/>
  <c r="AF284" i="34"/>
  <c r="AC284" i="34"/>
  <c r="S284" i="34" s="1"/>
  <c r="Z284" i="34"/>
  <c r="X284" i="34"/>
  <c r="V284" i="34" s="1"/>
  <c r="U284" i="34"/>
  <c r="I284" i="34"/>
  <c r="BJ283" i="34"/>
  <c r="BH283" i="34"/>
  <c r="BF283" i="34" s="1"/>
  <c r="BE283" i="34"/>
  <c r="BC283" i="34"/>
  <c r="AW283" i="34"/>
  <c r="AU283" i="34"/>
  <c r="AS283" i="34" s="1"/>
  <c r="AR283" i="34"/>
  <c r="AX283" i="34" s="1"/>
  <c r="AH283" i="34"/>
  <c r="AF283" i="34"/>
  <c r="AC283" i="34"/>
  <c r="S283" i="34" s="1"/>
  <c r="Z283" i="34"/>
  <c r="X283" i="34"/>
  <c r="V283" i="34" s="1"/>
  <c r="U283" i="34"/>
  <c r="I283" i="34"/>
  <c r="BJ282" i="34"/>
  <c r="BH282" i="34"/>
  <c r="BF282" i="34" s="1"/>
  <c r="BE282" i="34"/>
  <c r="BC282" i="34" s="1"/>
  <c r="AW282" i="34"/>
  <c r="AU282" i="34"/>
  <c r="AR282" i="34"/>
  <c r="AX282" i="34" s="1"/>
  <c r="AH282" i="34"/>
  <c r="AF282" i="34"/>
  <c r="AD282" i="34" s="1"/>
  <c r="AC282" i="34"/>
  <c r="AI282" i="34" s="1"/>
  <c r="N282" i="34" s="1"/>
  <c r="Z282" i="34"/>
  <c r="X282" i="34"/>
  <c r="U282" i="34"/>
  <c r="AP282" i="34" s="1"/>
  <c r="I282" i="34"/>
  <c r="BJ281" i="34"/>
  <c r="BH281" i="34"/>
  <c r="BE281" i="34"/>
  <c r="BC281" i="34" s="1"/>
  <c r="AW281" i="34"/>
  <c r="AU281" i="34"/>
  <c r="AR281" i="34"/>
  <c r="AX281" i="34" s="1"/>
  <c r="AH281" i="34"/>
  <c r="AF281" i="34"/>
  <c r="AC281" i="34"/>
  <c r="AI281" i="34" s="1"/>
  <c r="N281" i="34" s="1"/>
  <c r="Z281" i="34"/>
  <c r="X281" i="34"/>
  <c r="V281" i="34" s="1"/>
  <c r="U281" i="34"/>
  <c r="I281" i="34"/>
  <c r="BJ280" i="34"/>
  <c r="BH280" i="34"/>
  <c r="BE280" i="34"/>
  <c r="BC280" i="34" s="1"/>
  <c r="AW280" i="34"/>
  <c r="AU280" i="34"/>
  <c r="AR280" i="34"/>
  <c r="AX280" i="34" s="1"/>
  <c r="AH280" i="34"/>
  <c r="AF280" i="34"/>
  <c r="AD280" i="34" s="1"/>
  <c r="AC280" i="34"/>
  <c r="AI280" i="34" s="1"/>
  <c r="N280" i="34" s="1"/>
  <c r="Z280" i="34"/>
  <c r="Z272" i="34" s="1"/>
  <c r="Z271" i="34" s="1"/>
  <c r="X280" i="34"/>
  <c r="U280" i="34"/>
  <c r="AP280" i="34" s="1"/>
  <c r="I280" i="34"/>
  <c r="BJ279" i="34"/>
  <c r="BH279" i="34"/>
  <c r="BE279" i="34"/>
  <c r="BC279" i="34" s="1"/>
  <c r="AW279" i="34"/>
  <c r="AU279" i="34"/>
  <c r="AS279" i="34" s="1"/>
  <c r="AR279" i="34"/>
  <c r="AH279" i="34"/>
  <c r="AF279" i="34"/>
  <c r="AD279" i="34" s="1"/>
  <c r="AC279" i="34"/>
  <c r="S279" i="34" s="1"/>
  <c r="Z279" i="34"/>
  <c r="X279" i="34"/>
  <c r="U279" i="34"/>
  <c r="AP279" i="34" s="1"/>
  <c r="I279" i="34"/>
  <c r="BJ278" i="34"/>
  <c r="BH278" i="34"/>
  <c r="BF278" i="34"/>
  <c r="BE278" i="34"/>
  <c r="BC278" i="34" s="1"/>
  <c r="AW278" i="34"/>
  <c r="AT278" i="34"/>
  <c r="AU278" i="34" s="1"/>
  <c r="AR278" i="34"/>
  <c r="AH278" i="34"/>
  <c r="AE278" i="34"/>
  <c r="AF278" i="34" s="1"/>
  <c r="AD278" i="34" s="1"/>
  <c r="Z278" i="34"/>
  <c r="X278" i="34"/>
  <c r="U278" i="34"/>
  <c r="I278" i="34"/>
  <c r="BJ277" i="34"/>
  <c r="BH277" i="34"/>
  <c r="BF277" i="34"/>
  <c r="BE277" i="34"/>
  <c r="BC277" i="34" s="1"/>
  <c r="AW277" i="34"/>
  <c r="AU277" i="34"/>
  <c r="AR277" i="34"/>
  <c r="AX277" i="34" s="1"/>
  <c r="AH277" i="34"/>
  <c r="AF277" i="34"/>
  <c r="AC277" i="34"/>
  <c r="S277" i="34" s="1"/>
  <c r="Z277" i="34"/>
  <c r="X277" i="34"/>
  <c r="U277" i="34"/>
  <c r="I277" i="34"/>
  <c r="BJ276" i="34"/>
  <c r="BH276" i="34"/>
  <c r="BE276" i="34"/>
  <c r="BC276" i="34" s="1"/>
  <c r="AW276" i="34"/>
  <c r="AU276" i="34"/>
  <c r="AS276" i="34" s="1"/>
  <c r="AR276" i="34"/>
  <c r="AX276" i="34" s="1"/>
  <c r="AH276" i="34"/>
  <c r="AF276" i="34"/>
  <c r="AC276" i="34"/>
  <c r="S276" i="34" s="1"/>
  <c r="Z276" i="34"/>
  <c r="X276" i="34"/>
  <c r="U276" i="34"/>
  <c r="I276" i="34"/>
  <c r="BJ275" i="34"/>
  <c r="BF275" i="34" s="1"/>
  <c r="BH275" i="34"/>
  <c r="BE275" i="34"/>
  <c r="BC275" i="34" s="1"/>
  <c r="AW275" i="34"/>
  <c r="AU275" i="34"/>
  <c r="AS275" i="34" s="1"/>
  <c r="AR275" i="34"/>
  <c r="AX275" i="34" s="1"/>
  <c r="AH275" i="34"/>
  <c r="AE275" i="34"/>
  <c r="Z275" i="34"/>
  <c r="X275" i="34"/>
  <c r="V275" i="34"/>
  <c r="U275" i="34"/>
  <c r="I275" i="34"/>
  <c r="BJ274" i="34"/>
  <c r="BH274" i="34"/>
  <c r="BE274" i="34"/>
  <c r="BC274" i="34" s="1"/>
  <c r="AW274" i="34"/>
  <c r="AU274" i="34"/>
  <c r="AR274" i="34"/>
  <c r="AX274" i="34" s="1"/>
  <c r="AH274" i="34"/>
  <c r="AE274" i="34"/>
  <c r="AF274" i="34" s="1"/>
  <c r="Z274" i="34"/>
  <c r="X274" i="34"/>
  <c r="V274" i="34" s="1"/>
  <c r="U274" i="34"/>
  <c r="I274" i="34"/>
  <c r="BJ273" i="34"/>
  <c r="BH273" i="34"/>
  <c r="BF273" i="34" s="1"/>
  <c r="BE273" i="34"/>
  <c r="AR273" i="34"/>
  <c r="AX273" i="34" s="1"/>
  <c r="AH273" i="34"/>
  <c r="AF273" i="34"/>
  <c r="AD273" i="34"/>
  <c r="AC273" i="34"/>
  <c r="Z273" i="34"/>
  <c r="X273" i="34"/>
  <c r="V273" i="34"/>
  <c r="U273" i="34"/>
  <c r="AP273" i="34" s="1"/>
  <c r="I273" i="34"/>
  <c r="BT272" i="34"/>
  <c r="BS272" i="34"/>
  <c r="BR272" i="34"/>
  <c r="BQ272" i="34"/>
  <c r="BP272" i="34"/>
  <c r="BO272" i="34"/>
  <c r="BN272" i="34"/>
  <c r="BM272" i="34"/>
  <c r="BL272" i="34"/>
  <c r="BK272" i="34"/>
  <c r="BI272" i="34"/>
  <c r="BG272" i="34"/>
  <c r="AZ272" i="34"/>
  <c r="AY272" i="34"/>
  <c r="AV272" i="34"/>
  <c r="AT272" i="34"/>
  <c r="AQ272" i="34"/>
  <c r="AO272" i="34"/>
  <c r="AM272" i="34"/>
  <c r="AL272" i="34"/>
  <c r="AK272" i="34"/>
  <c r="AJ272" i="34"/>
  <c r="AG272" i="34"/>
  <c r="AE272" i="34"/>
  <c r="AB272" i="34"/>
  <c r="AA272" i="34"/>
  <c r="Y272" i="34"/>
  <c r="W272" i="34"/>
  <c r="T272" i="34"/>
  <c r="M272" i="34"/>
  <c r="G272" i="34"/>
  <c r="F272" i="34"/>
  <c r="BT271" i="34"/>
  <c r="BS271" i="34"/>
  <c r="BR271" i="34"/>
  <c r="BQ271" i="34"/>
  <c r="BP271" i="34"/>
  <c r="BO271" i="34"/>
  <c r="BN271" i="34"/>
  <c r="BM271" i="34"/>
  <c r="BL271" i="34"/>
  <c r="BK271" i="34"/>
  <c r="BI271" i="34"/>
  <c r="BG271" i="34"/>
  <c r="AZ271" i="34"/>
  <c r="AY271" i="34"/>
  <c r="AV271" i="34"/>
  <c r="AT271" i="34"/>
  <c r="AQ271" i="34"/>
  <c r="AO271" i="34"/>
  <c r="AM271" i="34"/>
  <c r="AL271" i="34"/>
  <c r="AK271" i="34"/>
  <c r="AJ271" i="34"/>
  <c r="AG271" i="34"/>
  <c r="AE271" i="34"/>
  <c r="AB271" i="34"/>
  <c r="AA271" i="34"/>
  <c r="Y271" i="34"/>
  <c r="W271" i="34"/>
  <c r="T271" i="34"/>
  <c r="M271" i="34"/>
  <c r="G271" i="34"/>
  <c r="F271" i="34"/>
  <c r="BE270" i="34"/>
  <c r="BK270" i="34" s="1"/>
  <c r="BK266" i="34" s="1"/>
  <c r="AV270" i="34"/>
  <c r="AU270" i="34"/>
  <c r="AS270" i="34" s="1"/>
  <c r="AH270" i="34"/>
  <c r="AD270" i="34" s="1"/>
  <c r="AC270" i="34"/>
  <c r="Z270" i="34"/>
  <c r="V270" i="34" s="1"/>
  <c r="U270" i="34"/>
  <c r="BJ269" i="34"/>
  <c r="BF269" i="34" s="1"/>
  <c r="BH269" i="34"/>
  <c r="BE269" i="34"/>
  <c r="BC269" i="34"/>
  <c r="AV269" i="34"/>
  <c r="AW269" i="34" s="1"/>
  <c r="AU269" i="34"/>
  <c r="AI269" i="34"/>
  <c r="N269" i="34" s="1"/>
  <c r="AH269" i="34"/>
  <c r="AH266" i="34" s="1"/>
  <c r="AF269" i="34"/>
  <c r="AC269" i="34"/>
  <c r="S269" i="34" s="1"/>
  <c r="Z269" i="34"/>
  <c r="Z266" i="34" s="1"/>
  <c r="X269" i="34"/>
  <c r="V269" i="34" s="1"/>
  <c r="U269" i="34"/>
  <c r="BJ268" i="34"/>
  <c r="BH268" i="34"/>
  <c r="BE268" i="34"/>
  <c r="BC268" i="34" s="1"/>
  <c r="AW268" i="34"/>
  <c r="AU268" i="34"/>
  <c r="AU266" i="34" s="1"/>
  <c r="AR268" i="34"/>
  <c r="AX268" i="34" s="1"/>
  <c r="AH268" i="34"/>
  <c r="AF268" i="34"/>
  <c r="AD268" i="34"/>
  <c r="AC268" i="34"/>
  <c r="Z268" i="34"/>
  <c r="X268" i="34"/>
  <c r="V268" i="34"/>
  <c r="U268" i="34"/>
  <c r="AP268" i="34" s="1"/>
  <c r="BJ267" i="34"/>
  <c r="BH267" i="34"/>
  <c r="BF267" i="34" s="1"/>
  <c r="BE267" i="34"/>
  <c r="AR267" i="34"/>
  <c r="AN267" i="34" s="1"/>
  <c r="AH267" i="34"/>
  <c r="AF267" i="34"/>
  <c r="AC267" i="34"/>
  <c r="Z267" i="34"/>
  <c r="X267" i="34"/>
  <c r="V267" i="34" s="1"/>
  <c r="U267" i="34"/>
  <c r="U266" i="34" s="1"/>
  <c r="BM266" i="34"/>
  <c r="BL266" i="34"/>
  <c r="BI266" i="34"/>
  <c r="BH266" i="34"/>
  <c r="BG266" i="34"/>
  <c r="AZ266" i="34"/>
  <c r="AY266" i="34"/>
  <c r="AT266" i="34"/>
  <c r="AQ266" i="34"/>
  <c r="AO266" i="34"/>
  <c r="AM266" i="34"/>
  <c r="AL266" i="34"/>
  <c r="AK266" i="34"/>
  <c r="AJ266" i="34"/>
  <c r="AG266" i="34"/>
  <c r="AF266" i="34"/>
  <c r="AE266" i="34"/>
  <c r="AB266" i="34"/>
  <c r="AA266" i="34"/>
  <c r="Y266" i="34"/>
  <c r="X266" i="34"/>
  <c r="W266" i="34"/>
  <c r="M266" i="34"/>
  <c r="G266" i="34"/>
  <c r="F266" i="34"/>
  <c r="AV265" i="34"/>
  <c r="AW265" i="34" s="1"/>
  <c r="AU265" i="34"/>
  <c r="AR265" i="34"/>
  <c r="AH265" i="34"/>
  <c r="AF265" i="34"/>
  <c r="AD265" i="34" s="1"/>
  <c r="AC265" i="34"/>
  <c r="AI265" i="34" s="1"/>
  <c r="N265" i="34" s="1"/>
  <c r="Z265" i="34"/>
  <c r="X265" i="34"/>
  <c r="U265" i="34"/>
  <c r="AV264" i="34"/>
  <c r="AU264" i="34"/>
  <c r="AH264" i="34"/>
  <c r="AF264" i="34"/>
  <c r="AC264" i="34"/>
  <c r="AI264" i="34" s="1"/>
  <c r="N264" i="34" s="1"/>
  <c r="Z264" i="34"/>
  <c r="X264" i="34"/>
  <c r="U264" i="34"/>
  <c r="AV263" i="34"/>
  <c r="AW263" i="34" s="1"/>
  <c r="AU263" i="34"/>
  <c r="AH263" i="34"/>
  <c r="AF263" i="34"/>
  <c r="AC263" i="34"/>
  <c r="Z263" i="34"/>
  <c r="X263" i="34"/>
  <c r="U263" i="34"/>
  <c r="AV262" i="34"/>
  <c r="AW262" i="34" s="1"/>
  <c r="AU262" i="34"/>
  <c r="AH262" i="34"/>
  <c r="AF262" i="34"/>
  <c r="AC262" i="34"/>
  <c r="Z262" i="34"/>
  <c r="X262" i="34"/>
  <c r="U262" i="34"/>
  <c r="AV261" i="34"/>
  <c r="AW261" i="34" s="1"/>
  <c r="AU261" i="34"/>
  <c r="AH261" i="34"/>
  <c r="AF261" i="34"/>
  <c r="AC261" i="34"/>
  <c r="Z261" i="34"/>
  <c r="X261" i="34"/>
  <c r="U261" i="34"/>
  <c r="AW260" i="34"/>
  <c r="AU260" i="34"/>
  <c r="AS260" i="34" s="1"/>
  <c r="AR260" i="34"/>
  <c r="AH260" i="34"/>
  <c r="AF260" i="34"/>
  <c r="AD260" i="34" s="1"/>
  <c r="AC260" i="34"/>
  <c r="AI260" i="34" s="1"/>
  <c r="N260" i="34" s="1"/>
  <c r="Z260" i="34"/>
  <c r="X260" i="34"/>
  <c r="V260" i="34" s="1"/>
  <c r="U260" i="34"/>
  <c r="AP260" i="34" s="1"/>
  <c r="AV259" i="34"/>
  <c r="AW259" i="34" s="1"/>
  <c r="AU259" i="34"/>
  <c r="AS259" i="34" s="1"/>
  <c r="AR259" i="34"/>
  <c r="AH259" i="34"/>
  <c r="AF259" i="34"/>
  <c r="AD259" i="34" s="1"/>
  <c r="AC259" i="34"/>
  <c r="AI259" i="34" s="1"/>
  <c r="N259" i="34" s="1"/>
  <c r="Z259" i="34"/>
  <c r="X259" i="34"/>
  <c r="V259" i="34" s="1"/>
  <c r="U259" i="34"/>
  <c r="AW258" i="34"/>
  <c r="AV258" i="34"/>
  <c r="AU258" i="34"/>
  <c r="AR258" i="34"/>
  <c r="AX258" i="34" s="1"/>
  <c r="AN258" i="34"/>
  <c r="AH258" i="34"/>
  <c r="AF258" i="34"/>
  <c r="AD258" i="34"/>
  <c r="AC258" i="34"/>
  <c r="AI258" i="34" s="1"/>
  <c r="N258" i="34" s="1"/>
  <c r="Z258" i="34"/>
  <c r="X258" i="34"/>
  <c r="V258" i="34" s="1"/>
  <c r="U258" i="34"/>
  <c r="AW257" i="34"/>
  <c r="AV257" i="34"/>
  <c r="AU257" i="34"/>
  <c r="AR257" i="34"/>
  <c r="AX257" i="34" s="1"/>
  <c r="AH257" i="34"/>
  <c r="AD257" i="34" s="1"/>
  <c r="AF257" i="34"/>
  <c r="AC257" i="34"/>
  <c r="AI257" i="34" s="1"/>
  <c r="N257" i="34" s="1"/>
  <c r="Z257" i="34"/>
  <c r="X257" i="34"/>
  <c r="U257" i="34"/>
  <c r="AW256" i="34"/>
  <c r="AV256" i="34"/>
  <c r="AR256" i="34" s="1"/>
  <c r="AX256" i="34" s="1"/>
  <c r="AU256" i="34"/>
  <c r="AN256" i="34"/>
  <c r="AH256" i="34"/>
  <c r="AF256" i="34"/>
  <c r="AC256" i="34"/>
  <c r="AI256" i="34" s="1"/>
  <c r="N256" i="34" s="1"/>
  <c r="Z256" i="34"/>
  <c r="X256" i="34"/>
  <c r="U256" i="34"/>
  <c r="AW255" i="34"/>
  <c r="AU255" i="34"/>
  <c r="AS255" i="34" s="1"/>
  <c r="AR255" i="34"/>
  <c r="AX255" i="34" s="1"/>
  <c r="AH255" i="34"/>
  <c r="AF255" i="34"/>
  <c r="AC255" i="34"/>
  <c r="Z255" i="34"/>
  <c r="X255" i="34"/>
  <c r="U255" i="34"/>
  <c r="AV254" i="34"/>
  <c r="AW254" i="34" s="1"/>
  <c r="AU254" i="34"/>
  <c r="AH254" i="34"/>
  <c r="AF254" i="34"/>
  <c r="AD254" i="34" s="1"/>
  <c r="AC254" i="34"/>
  <c r="Z254" i="34"/>
  <c r="X254" i="34"/>
  <c r="U254" i="34"/>
  <c r="BJ253" i="34"/>
  <c r="BH253" i="34"/>
  <c r="BG253" i="34"/>
  <c r="BE253" i="34"/>
  <c r="BK253" i="34" s="1"/>
  <c r="BK247" i="34" s="1"/>
  <c r="AW253" i="34"/>
  <c r="AV253" i="34"/>
  <c r="AU253" i="34"/>
  <c r="AR253" i="34"/>
  <c r="AX253" i="34" s="1"/>
  <c r="AN253" i="34"/>
  <c r="AH253" i="34"/>
  <c r="AF253" i="34"/>
  <c r="AD253" i="34" s="1"/>
  <c r="AC253" i="34"/>
  <c r="AI253" i="34" s="1"/>
  <c r="N253" i="34" s="1"/>
  <c r="Z253" i="34"/>
  <c r="X253" i="34"/>
  <c r="U253" i="34"/>
  <c r="S253" i="34"/>
  <c r="BJ252" i="34"/>
  <c r="BF252" i="34" s="1"/>
  <c r="BH252" i="34"/>
  <c r="BE252" i="34"/>
  <c r="BC252" i="34"/>
  <c r="AV252" i="34"/>
  <c r="AW252" i="34" s="1"/>
  <c r="AU252" i="34"/>
  <c r="AR252" i="34"/>
  <c r="AH252" i="34"/>
  <c r="AF252" i="34"/>
  <c r="AD252" i="34" s="1"/>
  <c r="AC252" i="34"/>
  <c r="Y252" i="34"/>
  <c r="Z252" i="34" s="1"/>
  <c r="X252" i="34"/>
  <c r="V252" i="34" s="1"/>
  <c r="U252" i="34"/>
  <c r="AP252" i="34" s="1"/>
  <c r="BJ251" i="34"/>
  <c r="BH251" i="34"/>
  <c r="BF251" i="34" s="1"/>
  <c r="BE251" i="34"/>
  <c r="BC251" i="34" s="1"/>
  <c r="AW251" i="34"/>
  <c r="AT251" i="34"/>
  <c r="AH251" i="34"/>
  <c r="AF251" i="34"/>
  <c r="AD251" i="34" s="1"/>
  <c r="AC251" i="34"/>
  <c r="S251" i="34" s="1"/>
  <c r="Z251" i="34"/>
  <c r="X251" i="34"/>
  <c r="V251" i="34" s="1"/>
  <c r="U251" i="34"/>
  <c r="BJ250" i="34"/>
  <c r="BH250" i="34"/>
  <c r="BF250" i="34" s="1"/>
  <c r="BE250" i="34"/>
  <c r="BC250" i="34" s="1"/>
  <c r="AW250" i="34"/>
  <c r="AU250" i="34"/>
  <c r="AR250" i="34"/>
  <c r="AX250" i="34" s="1"/>
  <c r="AH250" i="34"/>
  <c r="AF250" i="34"/>
  <c r="AD250" i="34" s="1"/>
  <c r="AC250" i="34"/>
  <c r="AI250" i="34" s="1"/>
  <c r="N250" i="34" s="1"/>
  <c r="Z250" i="34"/>
  <c r="X250" i="34"/>
  <c r="V250" i="34" s="1"/>
  <c r="U250" i="34"/>
  <c r="S250" i="34"/>
  <c r="I250" i="34"/>
  <c r="BJ249" i="34"/>
  <c r="BH249" i="34"/>
  <c r="BE249" i="34"/>
  <c r="BC249" i="34" s="1"/>
  <c r="AR249" i="34"/>
  <c r="AN249" i="34" s="1"/>
  <c r="AH249" i="34"/>
  <c r="AF249" i="34"/>
  <c r="AD249" i="34" s="1"/>
  <c r="AE249" i="34"/>
  <c r="AC249" i="34" s="1"/>
  <c r="Z249" i="34"/>
  <c r="X249" i="34"/>
  <c r="U249" i="34"/>
  <c r="S249" i="34"/>
  <c r="I249" i="34"/>
  <c r="I247" i="34" s="1"/>
  <c r="BC248" i="34"/>
  <c r="AV248" i="34"/>
  <c r="AR248" i="34"/>
  <c r="AX248" i="34" s="1"/>
  <c r="AH248" i="34"/>
  <c r="AC248" i="34"/>
  <c r="AI248" i="34" s="1"/>
  <c r="N248" i="34" s="1"/>
  <c r="Z248" i="34"/>
  <c r="U248" i="34"/>
  <c r="AP248" i="34" s="1"/>
  <c r="BT247" i="34"/>
  <c r="BT246" i="34" s="1"/>
  <c r="BS247" i="34"/>
  <c r="BR247" i="34"/>
  <c r="BQ247" i="34"/>
  <c r="BQ246" i="34" s="1"/>
  <c r="BP247" i="34"/>
  <c r="BP246" i="34" s="1"/>
  <c r="BO247" i="34"/>
  <c r="BN247" i="34"/>
  <c r="BM247" i="34"/>
  <c r="BM246" i="34" s="1"/>
  <c r="BL247" i="34"/>
  <c r="BL246" i="34" s="1"/>
  <c r="BI247" i="34"/>
  <c r="BH247" i="34"/>
  <c r="BG247" i="34"/>
  <c r="BG246" i="34" s="1"/>
  <c r="BD247" i="34"/>
  <c r="BB247" i="34"/>
  <c r="BA247" i="34"/>
  <c r="AZ247" i="34"/>
  <c r="AY247" i="34"/>
  <c r="AY246" i="34" s="1"/>
  <c r="AV247" i="34"/>
  <c r="AQ247" i="34"/>
  <c r="AQ246" i="34" s="1"/>
  <c r="AO247" i="34"/>
  <c r="AO246" i="34" s="1"/>
  <c r="AM247" i="34"/>
  <c r="AL247" i="34"/>
  <c r="AK247" i="34"/>
  <c r="AK246" i="34" s="1"/>
  <c r="AJ247" i="34"/>
  <c r="AJ246" i="34" s="1"/>
  <c r="AG247" i="34"/>
  <c r="AE247" i="34"/>
  <c r="AE246" i="34" s="1"/>
  <c r="AB247" i="34"/>
  <c r="AA247" i="34"/>
  <c r="AA246" i="34" s="1"/>
  <c r="W247" i="34"/>
  <c r="W246" i="34" s="1"/>
  <c r="T247" i="34"/>
  <c r="R247" i="34"/>
  <c r="Q247" i="34"/>
  <c r="P247" i="34"/>
  <c r="O247" i="34"/>
  <c r="M247" i="34"/>
  <c r="L247" i="34"/>
  <c r="K247" i="34"/>
  <c r="J247" i="34"/>
  <c r="H247" i="34"/>
  <c r="G247" i="34"/>
  <c r="F247" i="34"/>
  <c r="BS246" i="34"/>
  <c r="BR246" i="34"/>
  <c r="BO246" i="34"/>
  <c r="BN246" i="34"/>
  <c r="BI246" i="34"/>
  <c r="AZ246" i="34"/>
  <c r="AM246" i="34"/>
  <c r="AL246" i="34"/>
  <c r="AG246" i="34"/>
  <c r="AB246" i="34"/>
  <c r="T246" i="34"/>
  <c r="M246" i="34"/>
  <c r="F246" i="34"/>
  <c r="B246" i="34"/>
  <c r="BJ245" i="34"/>
  <c r="BF245" i="34" s="1"/>
  <c r="BH245" i="34"/>
  <c r="BE245" i="34"/>
  <c r="BC245" i="34" s="1"/>
  <c r="AW245" i="34"/>
  <c r="AT245" i="34"/>
  <c r="AU245" i="34" s="1"/>
  <c r="AR245" i="34"/>
  <c r="AX245" i="34" s="1"/>
  <c r="AH245" i="34"/>
  <c r="AF245" i="34"/>
  <c r="AD245" i="34"/>
  <c r="AC245" i="34"/>
  <c r="Z245" i="34"/>
  <c r="X245" i="34"/>
  <c r="V245" i="34"/>
  <c r="U245" i="34"/>
  <c r="AP245" i="34" s="1"/>
  <c r="BJ244" i="34"/>
  <c r="BH244" i="34"/>
  <c r="BF244" i="34" s="1"/>
  <c r="BE244" i="34"/>
  <c r="BC244" i="34" s="1"/>
  <c r="AW244" i="34"/>
  <c r="AU244" i="34"/>
  <c r="AS244" i="34" s="1"/>
  <c r="AR244" i="34"/>
  <c r="AX244" i="34" s="1"/>
  <c r="AH244" i="34"/>
  <c r="AF244" i="34"/>
  <c r="AC244" i="34"/>
  <c r="AI244" i="34" s="1"/>
  <c r="N244" i="34" s="1"/>
  <c r="Z244" i="34"/>
  <c r="Z233" i="34" s="1"/>
  <c r="X244" i="34"/>
  <c r="U244" i="34"/>
  <c r="S244" i="34"/>
  <c r="BJ243" i="34"/>
  <c r="BH243" i="34"/>
  <c r="BE243" i="34"/>
  <c r="BC243" i="34" s="1"/>
  <c r="AW243" i="34"/>
  <c r="AU243" i="34"/>
  <c r="AR243" i="34"/>
  <c r="AX243" i="34" s="1"/>
  <c r="AH243" i="34"/>
  <c r="AF243" i="34"/>
  <c r="AD243" i="34"/>
  <c r="AC243" i="34"/>
  <c r="AI243" i="34" s="1"/>
  <c r="N243" i="34" s="1"/>
  <c r="Z243" i="34"/>
  <c r="X243" i="34"/>
  <c r="V243" i="34"/>
  <c r="U243" i="34"/>
  <c r="AP243" i="34" s="1"/>
  <c r="S243" i="34"/>
  <c r="BJ242" i="34"/>
  <c r="BH242" i="34"/>
  <c r="BF242" i="34" s="1"/>
  <c r="BE242" i="34"/>
  <c r="BC242" i="34" s="1"/>
  <c r="AW242" i="34"/>
  <c r="AU242" i="34"/>
  <c r="AR242" i="34"/>
  <c r="AX242" i="34" s="1"/>
  <c r="AH242" i="34"/>
  <c r="AF242" i="34"/>
  <c r="AD242" i="34"/>
  <c r="AC242" i="34"/>
  <c r="Z242" i="34"/>
  <c r="X242" i="34"/>
  <c r="V242" i="34"/>
  <c r="U242" i="34"/>
  <c r="AP242" i="34" s="1"/>
  <c r="BJ241" i="34"/>
  <c r="BH241" i="34"/>
  <c r="BF241" i="34" s="1"/>
  <c r="BE241" i="34"/>
  <c r="BC241" i="34" s="1"/>
  <c r="AW241" i="34"/>
  <c r="AU241" i="34"/>
  <c r="AS241" i="34"/>
  <c r="AR241" i="34"/>
  <c r="AH241" i="34"/>
  <c r="AF241" i="34"/>
  <c r="AD241" i="34" s="1"/>
  <c r="AC241" i="34"/>
  <c r="S241" i="34" s="1"/>
  <c r="Z241" i="34"/>
  <c r="X241" i="34"/>
  <c r="V241" i="34" s="1"/>
  <c r="U241" i="34"/>
  <c r="AP241" i="34" s="1"/>
  <c r="BJ240" i="34"/>
  <c r="BH240" i="34"/>
  <c r="BE240" i="34"/>
  <c r="BC240" i="34" s="1"/>
  <c r="AW240" i="34"/>
  <c r="AU240" i="34"/>
  <c r="AT240" i="34"/>
  <c r="AR240" i="34"/>
  <c r="AH240" i="34"/>
  <c r="AE240" i="34"/>
  <c r="Z240" i="34"/>
  <c r="X240" i="34"/>
  <c r="V240" i="34" s="1"/>
  <c r="U240" i="34"/>
  <c r="I240" i="34"/>
  <c r="BJ239" i="34"/>
  <c r="BH239" i="34"/>
  <c r="BE239" i="34"/>
  <c r="BC239" i="34" s="1"/>
  <c r="AW239" i="34"/>
  <c r="AU239" i="34"/>
  <c r="AT239" i="34"/>
  <c r="AR239" i="34" s="1"/>
  <c r="AX239" i="34" s="1"/>
  <c r="AH239" i="34"/>
  <c r="AF239" i="34"/>
  <c r="AD239" i="34" s="1"/>
  <c r="AE239" i="34"/>
  <c r="AC239" i="34"/>
  <c r="Z239" i="34"/>
  <c r="V239" i="34" s="1"/>
  <c r="X239" i="34"/>
  <c r="U239" i="34"/>
  <c r="AP239" i="34" s="1"/>
  <c r="S239" i="34"/>
  <c r="I239" i="34"/>
  <c r="BJ238" i="34"/>
  <c r="BJ233" i="34" s="1"/>
  <c r="BJ232" i="34" s="1"/>
  <c r="BH238" i="34"/>
  <c r="BE238" i="34"/>
  <c r="BC238" i="34" s="1"/>
  <c r="AW238" i="34"/>
  <c r="AU238" i="34"/>
  <c r="AR238" i="34"/>
  <c r="AH238" i="34"/>
  <c r="AE238" i="34"/>
  <c r="AF238" i="34" s="1"/>
  <c r="AC238" i="34"/>
  <c r="AI238" i="34" s="1"/>
  <c r="N238" i="34" s="1"/>
  <c r="Z238" i="34"/>
  <c r="X238" i="34"/>
  <c r="U238" i="34"/>
  <c r="I238" i="34"/>
  <c r="BJ237" i="34"/>
  <c r="BH237" i="34"/>
  <c r="BF237" i="34" s="1"/>
  <c r="BE237" i="34"/>
  <c r="BC237" i="34"/>
  <c r="AW237" i="34"/>
  <c r="AU237" i="34"/>
  <c r="AS237" i="34" s="1"/>
  <c r="AR237" i="34"/>
  <c r="AX237" i="34" s="1"/>
  <c r="AH237" i="34"/>
  <c r="AE237" i="34"/>
  <c r="AF237" i="34" s="1"/>
  <c r="AC237" i="34"/>
  <c r="AI237" i="34" s="1"/>
  <c r="N237" i="34" s="1"/>
  <c r="Z237" i="34"/>
  <c r="X237" i="34"/>
  <c r="V237" i="34" s="1"/>
  <c r="U237" i="34"/>
  <c r="S237" i="34"/>
  <c r="I237" i="34"/>
  <c r="BJ236" i="34"/>
  <c r="BH236" i="34"/>
  <c r="BF236" i="34" s="1"/>
  <c r="BE236" i="34"/>
  <c r="BC236" i="34" s="1"/>
  <c r="AW236" i="34"/>
  <c r="AT236" i="34"/>
  <c r="AH236" i="34"/>
  <c r="AF236" i="34"/>
  <c r="AE236" i="34"/>
  <c r="AC236" i="34"/>
  <c r="AI236" i="34" s="1"/>
  <c r="N236" i="34" s="1"/>
  <c r="Z236" i="34"/>
  <c r="X236" i="34"/>
  <c r="V236" i="34" s="1"/>
  <c r="U236" i="34"/>
  <c r="I236" i="34"/>
  <c r="BJ235" i="34"/>
  <c r="BH235" i="34"/>
  <c r="BE235" i="34"/>
  <c r="BC235" i="34" s="1"/>
  <c r="AW235" i="34"/>
  <c r="AU235" i="34"/>
  <c r="AS235" i="34" s="1"/>
  <c r="AT235" i="34"/>
  <c r="AR235" i="34"/>
  <c r="AX235" i="34" s="1"/>
  <c r="AN235" i="34"/>
  <c r="AH235" i="34"/>
  <c r="AE235" i="34"/>
  <c r="AF235" i="34" s="1"/>
  <c r="AC235" i="34"/>
  <c r="AI235" i="34" s="1"/>
  <c r="N235" i="34" s="1"/>
  <c r="Z235" i="34"/>
  <c r="X235" i="34"/>
  <c r="U235" i="34"/>
  <c r="I235" i="34"/>
  <c r="BJ234" i="34"/>
  <c r="BH234" i="34"/>
  <c r="BE234" i="34"/>
  <c r="BC234" i="34" s="1"/>
  <c r="AX234" i="34"/>
  <c r="AR234" i="34"/>
  <c r="AN234" i="34" s="1"/>
  <c r="AH234" i="34"/>
  <c r="AF234" i="34"/>
  <c r="AD234" i="34" s="1"/>
  <c r="AC234" i="34"/>
  <c r="S234" i="34" s="1"/>
  <c r="Z234" i="34"/>
  <c r="X234" i="34"/>
  <c r="X233" i="34" s="1"/>
  <c r="X232" i="34" s="1"/>
  <c r="U234" i="34"/>
  <c r="I234" i="34"/>
  <c r="BT233" i="34"/>
  <c r="BS233" i="34"/>
  <c r="BS232" i="34" s="1"/>
  <c r="BR233" i="34"/>
  <c r="BR232" i="34" s="1"/>
  <c r="BQ233" i="34"/>
  <c r="BP233" i="34"/>
  <c r="BO233" i="34"/>
  <c r="BO232" i="34" s="1"/>
  <c r="BN233" i="34"/>
  <c r="BN232" i="34" s="1"/>
  <c r="BM233" i="34"/>
  <c r="BL233" i="34"/>
  <c r="BI233" i="34"/>
  <c r="BI232" i="34" s="1"/>
  <c r="BG233" i="34"/>
  <c r="BE233" i="34"/>
  <c r="BE232" i="34" s="1"/>
  <c r="BC232" i="34" s="1"/>
  <c r="BC233" i="34"/>
  <c r="AZ233" i="34"/>
  <c r="AZ232" i="34" s="1"/>
  <c r="AY233" i="34"/>
  <c r="AW233" i="34"/>
  <c r="AV233" i="34"/>
  <c r="AV232" i="34" s="1"/>
  <c r="AT233" i="34"/>
  <c r="AT232" i="34" s="1"/>
  <c r="AQ233" i="34"/>
  <c r="AO233" i="34"/>
  <c r="AO232" i="34" s="1"/>
  <c r="AM233" i="34"/>
  <c r="AM232" i="34" s="1"/>
  <c r="AL233" i="34"/>
  <c r="AK233" i="34"/>
  <c r="AJ233" i="34"/>
  <c r="AJ232" i="34" s="1"/>
  <c r="AG233" i="34"/>
  <c r="AE233" i="34"/>
  <c r="AB233" i="34"/>
  <c r="AB232" i="34" s="1"/>
  <c r="AA233" i="34"/>
  <c r="Y233" i="34"/>
  <c r="Y232" i="34" s="1"/>
  <c r="W233" i="34"/>
  <c r="T233" i="34"/>
  <c r="T232" i="34" s="1"/>
  <c r="M233" i="34"/>
  <c r="M232" i="34" s="1"/>
  <c r="G233" i="34"/>
  <c r="F233" i="34"/>
  <c r="BT232" i="34"/>
  <c r="BQ232" i="34"/>
  <c r="BP232" i="34"/>
  <c r="BM232" i="34"/>
  <c r="BL232" i="34"/>
  <c r="BG232" i="34"/>
  <c r="AY232" i="34"/>
  <c r="AW232" i="34"/>
  <c r="AQ232" i="34"/>
  <c r="AL232" i="34"/>
  <c r="AK232" i="34"/>
  <c r="AG232" i="34"/>
  <c r="AE232" i="34"/>
  <c r="AA232" i="34"/>
  <c r="Z232" i="34"/>
  <c r="W232" i="34"/>
  <c r="G232" i="34"/>
  <c r="F232" i="34"/>
  <c r="BJ231" i="34"/>
  <c r="BG231" i="34"/>
  <c r="BH231" i="34" s="1"/>
  <c r="BE231" i="34"/>
  <c r="BK231" i="34" s="1"/>
  <c r="AW231" i="34"/>
  <c r="AV231" i="34"/>
  <c r="AU231" i="34"/>
  <c r="AS231" i="34" s="1"/>
  <c r="AR231" i="34"/>
  <c r="AH231" i="34"/>
  <c r="AF231" i="34"/>
  <c r="AD231" i="34" s="1"/>
  <c r="AC231" i="34"/>
  <c r="AI231" i="34" s="1"/>
  <c r="N231" i="34" s="1"/>
  <c r="Z231" i="34"/>
  <c r="X231" i="34"/>
  <c r="U231" i="34"/>
  <c r="S231" i="34"/>
  <c r="BJ230" i="34"/>
  <c r="BH230" i="34"/>
  <c r="BE230" i="34"/>
  <c r="BC230" i="34" s="1"/>
  <c r="AV230" i="34"/>
  <c r="AW230" i="34" s="1"/>
  <c r="AU230" i="34"/>
  <c r="AH230" i="34"/>
  <c r="AF230" i="34"/>
  <c r="AD230" i="34" s="1"/>
  <c r="AC230" i="34"/>
  <c r="S230" i="34" s="1"/>
  <c r="Z230" i="34"/>
  <c r="X230" i="34"/>
  <c r="U230" i="34"/>
  <c r="BJ229" i="34"/>
  <c r="BH229" i="34"/>
  <c r="BF229" i="34" s="1"/>
  <c r="BE229" i="34"/>
  <c r="BK229" i="34" s="1"/>
  <c r="BC229" i="34"/>
  <c r="AW229" i="34"/>
  <c r="AV229" i="34"/>
  <c r="AU229" i="34"/>
  <c r="AS229" i="34" s="1"/>
  <c r="AR229" i="34"/>
  <c r="AH229" i="34"/>
  <c r="AF229" i="34"/>
  <c r="AD229" i="34" s="1"/>
  <c r="AC229" i="34"/>
  <c r="AI229" i="34" s="1"/>
  <c r="N229" i="34" s="1"/>
  <c r="Z229" i="34"/>
  <c r="X229" i="34"/>
  <c r="U229" i="34"/>
  <c r="AP229" i="34" s="1"/>
  <c r="S229" i="34"/>
  <c r="BJ228" i="34"/>
  <c r="BH228" i="34"/>
  <c r="BE228" i="34"/>
  <c r="BC228" i="34" s="1"/>
  <c r="AV228" i="34"/>
  <c r="AU228" i="34"/>
  <c r="AH228" i="34"/>
  <c r="AF228" i="34"/>
  <c r="AC228" i="34"/>
  <c r="AI228" i="34" s="1"/>
  <c r="N228" i="34" s="1"/>
  <c r="Z228" i="34"/>
  <c r="X228" i="34"/>
  <c r="V228" i="34" s="1"/>
  <c r="U228" i="34"/>
  <c r="AP228" i="34" s="1"/>
  <c r="S228" i="34"/>
  <c r="BJ227" i="34"/>
  <c r="BH227" i="34"/>
  <c r="BF227" i="34" s="1"/>
  <c r="BE227" i="34"/>
  <c r="BK227" i="34" s="1"/>
  <c r="AV227" i="34"/>
  <c r="AU227" i="34"/>
  <c r="AH227" i="34"/>
  <c r="AH210" i="34" s="1"/>
  <c r="AH209" i="34" s="1"/>
  <c r="AF227" i="34"/>
  <c r="AC227" i="34"/>
  <c r="AI227" i="34" s="1"/>
  <c r="N227" i="34" s="1"/>
  <c r="Z227" i="34"/>
  <c r="X227" i="34"/>
  <c r="V227" i="34" s="1"/>
  <c r="U227" i="34"/>
  <c r="AP227" i="34" s="1"/>
  <c r="S227" i="34"/>
  <c r="BJ226" i="34"/>
  <c r="BH226" i="34"/>
  <c r="BE226" i="34"/>
  <c r="BC226" i="34" s="1"/>
  <c r="AV226" i="34"/>
  <c r="AW226" i="34" s="1"/>
  <c r="AU226" i="34"/>
  <c r="AR226" i="34"/>
  <c r="AH226" i="34"/>
  <c r="AF226" i="34"/>
  <c r="AD226" i="34" s="1"/>
  <c r="AC226" i="34"/>
  <c r="AI226" i="34" s="1"/>
  <c r="N226" i="34" s="1"/>
  <c r="Z226" i="34"/>
  <c r="X226" i="34"/>
  <c r="U226" i="34"/>
  <c r="S226" i="34"/>
  <c r="BJ225" i="34"/>
  <c r="BH225" i="34"/>
  <c r="BE225" i="34"/>
  <c r="BK225" i="34" s="1"/>
  <c r="AW225" i="34"/>
  <c r="AV225" i="34"/>
  <c r="AU225" i="34"/>
  <c r="AR225" i="34"/>
  <c r="AX225" i="34" s="1"/>
  <c r="AN225" i="34"/>
  <c r="AH225" i="34"/>
  <c r="AF225" i="34"/>
  <c r="AC225" i="34"/>
  <c r="AI225" i="34" s="1"/>
  <c r="N225" i="34" s="1"/>
  <c r="Z225" i="34"/>
  <c r="X225" i="34"/>
  <c r="U225" i="34"/>
  <c r="BJ224" i="34"/>
  <c r="BH224" i="34"/>
  <c r="BE224" i="34"/>
  <c r="BC224" i="34" s="1"/>
  <c r="AV224" i="34"/>
  <c r="AW224" i="34" s="1"/>
  <c r="AU224" i="34"/>
  <c r="AH224" i="34"/>
  <c r="AF224" i="34"/>
  <c r="AC224" i="34"/>
  <c r="S224" i="34" s="1"/>
  <c r="Z224" i="34"/>
  <c r="X224" i="34"/>
  <c r="U224" i="34"/>
  <c r="AP224" i="34" s="1"/>
  <c r="BJ223" i="34"/>
  <c r="BH223" i="34"/>
  <c r="BF223" i="34" s="1"/>
  <c r="BE223" i="34"/>
  <c r="BK223" i="34" s="1"/>
  <c r="AF223" i="34"/>
  <c r="AC223" i="34"/>
  <c r="AI223" i="34" s="1"/>
  <c r="N223" i="34" s="1"/>
  <c r="BJ222" i="34"/>
  <c r="BH222" i="34"/>
  <c r="BF222" i="34" s="1"/>
  <c r="BE222" i="34"/>
  <c r="BK222" i="34" s="1"/>
  <c r="AF222" i="34"/>
  <c r="AC222" i="34"/>
  <c r="AI222" i="34" s="1"/>
  <c r="N222" i="34" s="1"/>
  <c r="BJ221" i="34"/>
  <c r="BH221" i="34"/>
  <c r="BE221" i="34"/>
  <c r="BK221" i="34" s="1"/>
  <c r="AF221" i="34"/>
  <c r="AC221" i="34"/>
  <c r="AI221" i="34" s="1"/>
  <c r="N221" i="34" s="1"/>
  <c r="BJ220" i="34"/>
  <c r="BH220" i="34"/>
  <c r="BF220" i="34" s="1"/>
  <c r="BE220" i="34"/>
  <c r="BK220" i="34" s="1"/>
  <c r="AN220" i="34"/>
  <c r="AF220" i="34"/>
  <c r="AC220" i="34"/>
  <c r="AI220" i="34" s="1"/>
  <c r="N220" i="34" s="1"/>
  <c r="X220" i="34"/>
  <c r="U220" i="34"/>
  <c r="AP220" i="34" s="1"/>
  <c r="S220" i="34"/>
  <c r="I220" i="34"/>
  <c r="BJ219" i="34"/>
  <c r="BH219" i="34"/>
  <c r="BF219" i="34" s="1"/>
  <c r="BE219" i="34"/>
  <c r="BK219" i="34" s="1"/>
  <c r="AN219" i="34"/>
  <c r="AF219" i="34"/>
  <c r="AC219" i="34"/>
  <c r="AI219" i="34" s="1"/>
  <c r="N219" i="34" s="1"/>
  <c r="X219" i="34"/>
  <c r="U219" i="34"/>
  <c r="I219" i="34"/>
  <c r="BJ218" i="34"/>
  <c r="BJ210" i="34" s="1"/>
  <c r="BH218" i="34"/>
  <c r="BE218" i="34"/>
  <c r="BK218" i="34" s="1"/>
  <c r="AW218" i="34"/>
  <c r="AU218" i="34"/>
  <c r="AS218" i="34" s="1"/>
  <c r="AR218" i="34"/>
  <c r="AX218" i="34" s="1"/>
  <c r="AH218" i="34"/>
  <c r="AF218" i="34"/>
  <c r="AF210" i="34" s="1"/>
  <c r="AF209" i="34" s="1"/>
  <c r="AE218" i="34"/>
  <c r="AC218" i="34" s="1"/>
  <c r="AI218" i="34" s="1"/>
  <c r="N218" i="34" s="1"/>
  <c r="Z218" i="34"/>
  <c r="X218" i="34"/>
  <c r="V218" i="34" s="1"/>
  <c r="U218" i="34"/>
  <c r="I218" i="34"/>
  <c r="BJ217" i="34"/>
  <c r="BH217" i="34"/>
  <c r="BE217" i="34"/>
  <c r="BC217" i="34" s="1"/>
  <c r="AW217" i="34"/>
  <c r="AU217" i="34"/>
  <c r="AS217" i="34" s="1"/>
  <c r="AR217" i="34"/>
  <c r="AN217" i="34" s="1"/>
  <c r="AH217" i="34"/>
  <c r="AF217" i="34"/>
  <c r="AC217" i="34"/>
  <c r="S217" i="34" s="1"/>
  <c r="Z217" i="34"/>
  <c r="X217" i="34"/>
  <c r="U217" i="34"/>
  <c r="I217" i="34"/>
  <c r="BJ216" i="34"/>
  <c r="BH216" i="34"/>
  <c r="BF216" i="34" s="1"/>
  <c r="BE216" i="34"/>
  <c r="BC216" i="34" s="1"/>
  <c r="AW216" i="34"/>
  <c r="AU216" i="34"/>
  <c r="AR216" i="34"/>
  <c r="AN216" i="34" s="1"/>
  <c r="AH216" i="34"/>
  <c r="AF216" i="34"/>
  <c r="AD216" i="34"/>
  <c r="AC216" i="34"/>
  <c r="Z216" i="34"/>
  <c r="X216" i="34"/>
  <c r="V216" i="34"/>
  <c r="U216" i="34"/>
  <c r="AP216" i="34" s="1"/>
  <c r="I216" i="34"/>
  <c r="BJ215" i="34"/>
  <c r="BH215" i="34"/>
  <c r="BF215" i="34" s="1"/>
  <c r="BE215" i="34"/>
  <c r="BC215" i="34" s="1"/>
  <c r="AW215" i="34"/>
  <c r="AU215" i="34"/>
  <c r="AS215" i="34"/>
  <c r="AR215" i="34"/>
  <c r="AN215" i="34"/>
  <c r="AH215" i="34"/>
  <c r="AF215" i="34"/>
  <c r="AD215" i="34" s="1"/>
  <c r="AC215" i="34"/>
  <c r="S215" i="34" s="1"/>
  <c r="Z215" i="34"/>
  <c r="X215" i="34"/>
  <c r="U215" i="34"/>
  <c r="AP215" i="34" s="1"/>
  <c r="I215" i="34"/>
  <c r="BJ214" i="34"/>
  <c r="BH214" i="34"/>
  <c r="BE214" i="34"/>
  <c r="BC214" i="34" s="1"/>
  <c r="AW214" i="34"/>
  <c r="AU214" i="34"/>
  <c r="AR214" i="34"/>
  <c r="AN214" i="34" s="1"/>
  <c r="AH214" i="34"/>
  <c r="AD214" i="34" s="1"/>
  <c r="AF214" i="34"/>
  <c r="AC214" i="34"/>
  <c r="AI214" i="34" s="1"/>
  <c r="N214" i="34" s="1"/>
  <c r="Z214" i="34"/>
  <c r="X214" i="34"/>
  <c r="U214" i="34"/>
  <c r="AP214" i="34" s="1"/>
  <c r="S214" i="34"/>
  <c r="I214" i="34"/>
  <c r="BJ213" i="34"/>
  <c r="BH213" i="34"/>
  <c r="BF213" i="34" s="1"/>
  <c r="BE213" i="34"/>
  <c r="BC213" i="34" s="1"/>
  <c r="AW213" i="34"/>
  <c r="AS213" i="34" s="1"/>
  <c r="AU213" i="34"/>
  <c r="AR213" i="34"/>
  <c r="AN213" i="34"/>
  <c r="AH213" i="34"/>
  <c r="AF213" i="34"/>
  <c r="AD213" i="34" s="1"/>
  <c r="AC213" i="34"/>
  <c r="S213" i="34" s="1"/>
  <c r="Z213" i="34"/>
  <c r="X213" i="34"/>
  <c r="U213" i="34"/>
  <c r="AP213" i="34" s="1"/>
  <c r="I213" i="34"/>
  <c r="BJ212" i="34"/>
  <c r="BH212" i="34"/>
  <c r="BE212" i="34"/>
  <c r="BC212" i="34" s="1"/>
  <c r="AW212" i="34"/>
  <c r="AU212" i="34"/>
  <c r="AU210" i="34" s="1"/>
  <c r="AU209" i="34" s="1"/>
  <c r="AR212" i="34"/>
  <c r="AN212" i="34" s="1"/>
  <c r="AH212" i="34"/>
  <c r="AF212" i="34"/>
  <c r="AD212" i="34"/>
  <c r="AC212" i="34"/>
  <c r="AI212" i="34" s="1"/>
  <c r="N212" i="34" s="1"/>
  <c r="Z212" i="34"/>
  <c r="X212" i="34"/>
  <c r="U212" i="34"/>
  <c r="AP212" i="34" s="1"/>
  <c r="S212" i="34"/>
  <c r="I212" i="34"/>
  <c r="BJ211" i="34"/>
  <c r="BH211" i="34"/>
  <c r="BF211" i="34" s="1"/>
  <c r="BE211" i="34"/>
  <c r="BC211" i="34" s="1"/>
  <c r="AR211" i="34"/>
  <c r="AN211" i="34" s="1"/>
  <c r="AH211" i="34"/>
  <c r="AF211" i="34"/>
  <c r="AD211" i="34" s="1"/>
  <c r="AC211" i="34"/>
  <c r="AI211" i="34" s="1"/>
  <c r="Z211" i="34"/>
  <c r="X211" i="34"/>
  <c r="U211" i="34"/>
  <c r="S211" i="34"/>
  <c r="I211" i="34"/>
  <c r="BT210" i="34"/>
  <c r="BS210" i="34"/>
  <c r="BR210" i="34"/>
  <c r="BQ210" i="34"/>
  <c r="BP210" i="34"/>
  <c r="BO210" i="34"/>
  <c r="BN210" i="34"/>
  <c r="BM210" i="34"/>
  <c r="BM209" i="34" s="1"/>
  <c r="BL210" i="34"/>
  <c r="BI210" i="34"/>
  <c r="BI209" i="34" s="1"/>
  <c r="AZ210" i="34"/>
  <c r="AY210" i="34"/>
  <c r="AY209" i="34" s="1"/>
  <c r="AT210" i="34"/>
  <c r="AQ210" i="34"/>
  <c r="AQ209" i="34" s="1"/>
  <c r="AO210" i="34"/>
  <c r="AM210" i="34"/>
  <c r="AL210" i="34"/>
  <c r="AK210" i="34"/>
  <c r="AK209" i="34" s="1"/>
  <c r="AJ210" i="34"/>
  <c r="AG210" i="34"/>
  <c r="AB210" i="34"/>
  <c r="AA210" i="34"/>
  <c r="AA209" i="34" s="1"/>
  <c r="Y210" i="34"/>
  <c r="Y209" i="34" s="1"/>
  <c r="W210" i="34"/>
  <c r="W209" i="34" s="1"/>
  <c r="T210" i="34"/>
  <c r="M210" i="34"/>
  <c r="M209" i="34" s="1"/>
  <c r="G210" i="34"/>
  <c r="G209" i="34" s="1"/>
  <c r="F210" i="34"/>
  <c r="BL209" i="34"/>
  <c r="BJ209" i="34"/>
  <c r="BD209" i="34"/>
  <c r="BB209" i="34"/>
  <c r="BA209" i="34"/>
  <c r="AZ209" i="34"/>
  <c r="AT209" i="34"/>
  <c r="AO209" i="34"/>
  <c r="AM209" i="34"/>
  <c r="AL209" i="34"/>
  <c r="AJ209" i="34"/>
  <c r="AG209" i="34"/>
  <c r="AB209" i="34"/>
  <c r="T209" i="34"/>
  <c r="R209" i="34"/>
  <c r="Q209" i="34"/>
  <c r="P209" i="34"/>
  <c r="O209" i="34"/>
  <c r="L209" i="34"/>
  <c r="K209" i="34"/>
  <c r="J209" i="34"/>
  <c r="I209" i="34"/>
  <c r="H209" i="34"/>
  <c r="F209" i="34"/>
  <c r="BJ208" i="34"/>
  <c r="BJ207" i="34" s="1"/>
  <c r="BH208" i="34"/>
  <c r="BE208" i="34"/>
  <c r="AT208" i="34"/>
  <c r="AH208" i="34"/>
  <c r="AE208" i="34"/>
  <c r="AF208" i="34" s="1"/>
  <c r="AC208" i="34"/>
  <c r="AI208" i="34" s="1"/>
  <c r="Z208" i="34"/>
  <c r="X208" i="34"/>
  <c r="V208" i="34" s="1"/>
  <c r="V207" i="34" s="1"/>
  <c r="U208" i="34"/>
  <c r="U207" i="34" s="1"/>
  <c r="S208" i="34"/>
  <c r="S207" i="34" s="1"/>
  <c r="I208" i="34"/>
  <c r="BM207" i="34"/>
  <c r="BL207" i="34"/>
  <c r="BK207" i="34"/>
  <c r="BI207" i="34"/>
  <c r="BH207" i="34"/>
  <c r="BG207" i="34"/>
  <c r="BD207" i="34"/>
  <c r="BB207" i="34"/>
  <c r="BA207" i="34"/>
  <c r="AZ207" i="34"/>
  <c r="AY207" i="34"/>
  <c r="AW207" i="34"/>
  <c r="AV207" i="34"/>
  <c r="AO207" i="34"/>
  <c r="AM207" i="34"/>
  <c r="AL207" i="34"/>
  <c r="AK207" i="34"/>
  <c r="AJ207" i="34"/>
  <c r="AH207" i="34"/>
  <c r="AG207" i="34"/>
  <c r="AB207" i="34"/>
  <c r="AA207" i="34"/>
  <c r="Z207" i="34"/>
  <c r="Y207" i="34"/>
  <c r="X207" i="34"/>
  <c r="W207" i="34"/>
  <c r="T207" i="34"/>
  <c r="R207" i="34"/>
  <c r="Q207" i="34"/>
  <c r="P207" i="34"/>
  <c r="O207" i="34"/>
  <c r="M207" i="34"/>
  <c r="L207" i="34"/>
  <c r="K207" i="34"/>
  <c r="J207" i="34"/>
  <c r="I207" i="34"/>
  <c r="H207" i="34"/>
  <c r="G207" i="34"/>
  <c r="F207" i="34"/>
  <c r="BJ206" i="34"/>
  <c r="BH206" i="34"/>
  <c r="BE206" i="34"/>
  <c r="BC206" i="34" s="1"/>
  <c r="AW206" i="34"/>
  <c r="AU206" i="34"/>
  <c r="AS206" i="34" s="1"/>
  <c r="AT206" i="34"/>
  <c r="AR206" i="34"/>
  <c r="AX206" i="34" s="1"/>
  <c r="AN206" i="34"/>
  <c r="AH206" i="34"/>
  <c r="AF206" i="34"/>
  <c r="AC206" i="34"/>
  <c r="AI206" i="34" s="1"/>
  <c r="N206" i="34" s="1"/>
  <c r="Y206" i="34"/>
  <c r="X206" i="34"/>
  <c r="BJ205" i="34"/>
  <c r="BH205" i="34"/>
  <c r="BF205" i="34" s="1"/>
  <c r="BE205" i="34"/>
  <c r="BC205" i="34"/>
  <c r="AW205" i="34"/>
  <c r="AU205" i="34"/>
  <c r="AR205" i="34"/>
  <c r="AX205" i="34" s="1"/>
  <c r="AH205" i="34"/>
  <c r="AF205" i="34"/>
  <c r="AC205" i="34"/>
  <c r="AI205" i="34" s="1"/>
  <c r="N205" i="34" s="1"/>
  <c r="Z205" i="34"/>
  <c r="X205" i="34"/>
  <c r="V205" i="34" s="1"/>
  <c r="U205" i="34"/>
  <c r="AP205" i="34" s="1"/>
  <c r="BJ204" i="34"/>
  <c r="BH204" i="34"/>
  <c r="BF204" i="34"/>
  <c r="BE204" i="34"/>
  <c r="AT204" i="34"/>
  <c r="AU204" i="34" s="1"/>
  <c r="AS204" i="34"/>
  <c r="AH204" i="34"/>
  <c r="AF204" i="34"/>
  <c r="AD204" i="34" s="1"/>
  <c r="AC204" i="34"/>
  <c r="AI204" i="34" s="1"/>
  <c r="N204" i="34" s="1"/>
  <c r="Z204" i="34"/>
  <c r="X204" i="34"/>
  <c r="V204" i="34" s="1"/>
  <c r="U204" i="34"/>
  <c r="AP204" i="34" s="1"/>
  <c r="BJ203" i="34"/>
  <c r="BH203" i="34"/>
  <c r="BE203" i="34"/>
  <c r="BC203" i="34" s="1"/>
  <c r="AW203" i="34"/>
  <c r="AS203" i="34" s="1"/>
  <c r="AU203" i="34"/>
  <c r="AT203" i="34"/>
  <c r="AR203" i="34"/>
  <c r="AH203" i="34"/>
  <c r="AF203" i="34"/>
  <c r="AD203" i="34" s="1"/>
  <c r="AC203" i="34"/>
  <c r="AI203" i="34" s="1"/>
  <c r="N203" i="34" s="1"/>
  <c r="Z203" i="34"/>
  <c r="X203" i="34"/>
  <c r="U203" i="34"/>
  <c r="BJ202" i="34"/>
  <c r="BH202" i="34"/>
  <c r="BE202" i="34"/>
  <c r="BC202" i="34" s="1"/>
  <c r="AX202" i="34"/>
  <c r="AW202" i="34"/>
  <c r="AU202" i="34"/>
  <c r="AR202" i="34"/>
  <c r="AN202" i="34"/>
  <c r="AH202" i="34"/>
  <c r="AF202" i="34"/>
  <c r="AC202" i="34"/>
  <c r="AI202" i="34" s="1"/>
  <c r="N202" i="34" s="1"/>
  <c r="Z202" i="34"/>
  <c r="X202" i="34"/>
  <c r="V202" i="34" s="1"/>
  <c r="U202" i="34"/>
  <c r="AP202" i="34" s="1"/>
  <c r="S202" i="34"/>
  <c r="BJ201" i="34"/>
  <c r="BH201" i="34"/>
  <c r="BE201" i="34"/>
  <c r="BK201" i="34" s="1"/>
  <c r="AX201" i="34"/>
  <c r="AW201" i="34"/>
  <c r="AU201" i="34"/>
  <c r="AR201" i="34"/>
  <c r="AN201" i="34" s="1"/>
  <c r="AH201" i="34"/>
  <c r="AF201" i="34"/>
  <c r="AD201" i="34"/>
  <c r="AC201" i="34"/>
  <c r="AI201" i="34" s="1"/>
  <c r="N201" i="34" s="1"/>
  <c r="Z201" i="34"/>
  <c r="X201" i="34"/>
  <c r="V201" i="34" s="1"/>
  <c r="U201" i="34"/>
  <c r="AP201" i="34" s="1"/>
  <c r="S201" i="34"/>
  <c r="BJ200" i="34"/>
  <c r="BH200" i="34"/>
  <c r="BF200" i="34"/>
  <c r="BE200" i="34"/>
  <c r="BC200" i="34" s="1"/>
  <c r="AX200" i="34"/>
  <c r="AW200" i="34"/>
  <c r="AU200" i="34"/>
  <c r="AR200" i="34"/>
  <c r="AN200" i="34" s="1"/>
  <c r="AH200" i="34"/>
  <c r="AF200" i="34"/>
  <c r="AD200" i="34" s="1"/>
  <c r="AC200" i="34"/>
  <c r="AI200" i="34" s="1"/>
  <c r="N200" i="34" s="1"/>
  <c r="Z200" i="34"/>
  <c r="X200" i="34"/>
  <c r="V200" i="34" s="1"/>
  <c r="U200" i="34"/>
  <c r="AP200" i="34" s="1"/>
  <c r="S200" i="34"/>
  <c r="BJ199" i="34"/>
  <c r="BH199" i="34"/>
  <c r="BF199" i="34" s="1"/>
  <c r="BE199" i="34"/>
  <c r="BC199" i="34"/>
  <c r="AW199" i="34"/>
  <c r="AU199" i="34"/>
  <c r="AR199" i="34"/>
  <c r="AX199" i="34" s="1"/>
  <c r="AH199" i="34"/>
  <c r="AF199" i="34"/>
  <c r="AC199" i="34"/>
  <c r="S199" i="34" s="1"/>
  <c r="Z199" i="34"/>
  <c r="X199" i="34"/>
  <c r="V199" i="34" s="1"/>
  <c r="U199" i="34"/>
  <c r="AP199" i="34" s="1"/>
  <c r="AF198" i="34"/>
  <c r="AD198" i="34" s="1"/>
  <c r="AC198" i="34"/>
  <c r="AP198" i="34" s="1"/>
  <c r="AF197" i="34"/>
  <c r="AD197" i="34"/>
  <c r="AC197" i="34"/>
  <c r="AP197" i="34" s="1"/>
  <c r="AE196" i="34"/>
  <c r="AF196" i="34" s="1"/>
  <c r="AD196" i="34" s="1"/>
  <c r="AC196" i="34"/>
  <c r="AP196" i="34" s="1"/>
  <c r="AE195" i="34"/>
  <c r="BJ194" i="34"/>
  <c r="BH194" i="34"/>
  <c r="BF194" i="34"/>
  <c r="BE194" i="34"/>
  <c r="BC194" i="34" s="1"/>
  <c r="AW194" i="34"/>
  <c r="AU194" i="34"/>
  <c r="AS194" i="34" s="1"/>
  <c r="AR194" i="34"/>
  <c r="AN194" i="34" s="1"/>
  <c r="AH194" i="34"/>
  <c r="AE194" i="34"/>
  <c r="Z194" i="34"/>
  <c r="X194" i="34"/>
  <c r="V194" i="34" s="1"/>
  <c r="U194" i="34"/>
  <c r="I194" i="34"/>
  <c r="BJ193" i="34"/>
  <c r="BH193" i="34"/>
  <c r="BF193" i="34" s="1"/>
  <c r="BE193" i="34"/>
  <c r="BC193" i="34" s="1"/>
  <c r="AW193" i="34"/>
  <c r="AU193" i="34"/>
  <c r="AS193" i="34"/>
  <c r="AR193" i="34"/>
  <c r="AN193" i="34" s="1"/>
  <c r="AH193" i="34"/>
  <c r="AF193" i="34"/>
  <c r="AD193" i="34" s="1"/>
  <c r="AE193" i="34"/>
  <c r="AC193" i="34"/>
  <c r="AI193" i="34" s="1"/>
  <c r="N193" i="34" s="1"/>
  <c r="Z193" i="34"/>
  <c r="X193" i="34"/>
  <c r="U193" i="34"/>
  <c r="S193" i="34"/>
  <c r="I193" i="34"/>
  <c r="BJ192" i="34"/>
  <c r="BH192" i="34"/>
  <c r="BE192" i="34"/>
  <c r="BC192" i="34" s="1"/>
  <c r="AW192" i="34"/>
  <c r="AU192" i="34"/>
  <c r="AR192" i="34"/>
  <c r="AN192" i="34" s="1"/>
  <c r="AH192" i="34"/>
  <c r="AF192" i="34"/>
  <c r="AD192" i="34" s="1"/>
  <c r="AE192" i="34"/>
  <c r="AC192" i="34"/>
  <c r="AI192" i="34" s="1"/>
  <c r="N192" i="34" s="1"/>
  <c r="Z192" i="34"/>
  <c r="X192" i="34"/>
  <c r="U192" i="34"/>
  <c r="S192" i="34"/>
  <c r="I192" i="34"/>
  <c r="BJ191" i="34"/>
  <c r="BH191" i="34"/>
  <c r="BE191" i="34"/>
  <c r="BC191" i="34" s="1"/>
  <c r="AW191" i="34"/>
  <c r="AS191" i="34" s="1"/>
  <c r="AU191" i="34"/>
  <c r="AT191" i="34"/>
  <c r="AR191" i="34"/>
  <c r="AX191" i="34" s="1"/>
  <c r="AH191" i="34"/>
  <c r="AE191" i="34"/>
  <c r="AF191" i="34" s="1"/>
  <c r="Z191" i="34"/>
  <c r="X191" i="34"/>
  <c r="V191" i="34" s="1"/>
  <c r="U191" i="34"/>
  <c r="I191" i="34"/>
  <c r="BJ190" i="34"/>
  <c r="BH190" i="34"/>
  <c r="BE190" i="34"/>
  <c r="BC190" i="34" s="1"/>
  <c r="AW190" i="34"/>
  <c r="AU190" i="34"/>
  <c r="AS190" i="34"/>
  <c r="AR190" i="34"/>
  <c r="AX190" i="34" s="1"/>
  <c r="AH190" i="34"/>
  <c r="AF190" i="34"/>
  <c r="AD190" i="34" s="1"/>
  <c r="AC190" i="34"/>
  <c r="AI190" i="34" s="1"/>
  <c r="N190" i="34" s="1"/>
  <c r="Z190" i="34"/>
  <c r="X190" i="34"/>
  <c r="V190" i="34" s="1"/>
  <c r="U190" i="34"/>
  <c r="AP190" i="34" s="1"/>
  <c r="I190" i="34"/>
  <c r="BJ189" i="34"/>
  <c r="BH189" i="34"/>
  <c r="BF189" i="34" s="1"/>
  <c r="BE189" i="34"/>
  <c r="AW189" i="34"/>
  <c r="AT189" i="34"/>
  <c r="AU189" i="34" s="1"/>
  <c r="AR189" i="34"/>
  <c r="AX189" i="34" s="1"/>
  <c r="AN189" i="34"/>
  <c r="AH189" i="34"/>
  <c r="AE189" i="34"/>
  <c r="AF189" i="34" s="1"/>
  <c r="AC189" i="34"/>
  <c r="AI189" i="34" s="1"/>
  <c r="N189" i="34" s="1"/>
  <c r="Z189" i="34"/>
  <c r="X189" i="34"/>
  <c r="U189" i="34"/>
  <c r="I189" i="34"/>
  <c r="BJ188" i="34"/>
  <c r="BH188" i="34"/>
  <c r="BE188" i="34"/>
  <c r="BC188" i="34" s="1"/>
  <c r="AW188" i="34"/>
  <c r="AT188" i="34"/>
  <c r="AH188" i="34"/>
  <c r="AE188" i="34"/>
  <c r="AF188" i="34" s="1"/>
  <c r="AC188" i="34"/>
  <c r="Z188" i="34"/>
  <c r="W188" i="34"/>
  <c r="X188" i="34" s="1"/>
  <c r="I188" i="34"/>
  <c r="BJ187" i="34"/>
  <c r="BH187" i="34"/>
  <c r="BE187" i="34"/>
  <c r="BC187" i="34" s="1"/>
  <c r="AR187" i="34"/>
  <c r="AN187" i="34"/>
  <c r="AH187" i="34"/>
  <c r="AF187" i="34"/>
  <c r="AC187" i="34"/>
  <c r="AI187" i="34" s="1"/>
  <c r="Z187" i="34"/>
  <c r="X187" i="34"/>
  <c r="U187" i="34"/>
  <c r="I187" i="34"/>
  <c r="BT186" i="34"/>
  <c r="BT185" i="34" s="1"/>
  <c r="BS186" i="34"/>
  <c r="BS185" i="34" s="1"/>
  <c r="BR186" i="34"/>
  <c r="BQ186" i="34"/>
  <c r="BP186" i="34"/>
  <c r="BP185" i="34" s="1"/>
  <c r="BO186" i="34"/>
  <c r="BO185" i="34" s="1"/>
  <c r="BN186" i="34"/>
  <c r="BM186" i="34"/>
  <c r="BL186" i="34"/>
  <c r="BL185" i="34" s="1"/>
  <c r="BI186" i="34"/>
  <c r="BG186" i="34"/>
  <c r="BG185" i="34" s="1"/>
  <c r="AZ186" i="34"/>
  <c r="AZ185" i="34" s="1"/>
  <c r="AY186" i="34"/>
  <c r="AY185" i="34" s="1"/>
  <c r="AV186" i="34"/>
  <c r="AQ186" i="34"/>
  <c r="AO186" i="34"/>
  <c r="AM186" i="34"/>
  <c r="AM185" i="34" s="1"/>
  <c r="AL186" i="34"/>
  <c r="AL185" i="34" s="1"/>
  <c r="AK186" i="34"/>
  <c r="AJ186" i="34"/>
  <c r="AG186" i="34"/>
  <c r="AG185" i="34" s="1"/>
  <c r="AB186" i="34"/>
  <c r="AB185" i="34" s="1"/>
  <c r="AA186" i="34"/>
  <c r="AA185" i="34" s="1"/>
  <c r="W186" i="34"/>
  <c r="W185" i="34" s="1"/>
  <c r="T186" i="34"/>
  <c r="M186" i="34"/>
  <c r="G186" i="34"/>
  <c r="G185" i="34" s="1"/>
  <c r="F186" i="34"/>
  <c r="F185" i="34" s="1"/>
  <c r="BR185" i="34"/>
  <c r="BQ185" i="34"/>
  <c r="BN185" i="34"/>
  <c r="BM185" i="34"/>
  <c r="BI185" i="34"/>
  <c r="AV185" i="34"/>
  <c r="AQ185" i="34"/>
  <c r="AO185" i="34"/>
  <c r="AK185" i="34"/>
  <c r="AJ185" i="34"/>
  <c r="T185" i="34"/>
  <c r="M185" i="34"/>
  <c r="BJ184" i="34"/>
  <c r="BH184" i="34"/>
  <c r="BH183" i="34" s="1"/>
  <c r="BE184" i="34"/>
  <c r="BC184" i="34" s="1"/>
  <c r="AV184" i="34"/>
  <c r="AW184" i="34" s="1"/>
  <c r="AW183" i="34" s="1"/>
  <c r="AH184" i="34"/>
  <c r="AH183" i="34" s="1"/>
  <c r="AH175" i="34" s="1"/>
  <c r="AF184" i="34"/>
  <c r="AC184" i="34"/>
  <c r="AI184" i="34" s="1"/>
  <c r="Z184" i="34"/>
  <c r="X184" i="34"/>
  <c r="V184" i="34" s="1"/>
  <c r="V183" i="34" s="1"/>
  <c r="U184" i="34"/>
  <c r="AP184" i="34" s="1"/>
  <c r="AP183" i="34" s="1"/>
  <c r="BM183" i="34"/>
  <c r="BL183" i="34"/>
  <c r="BK183" i="34"/>
  <c r="BJ183" i="34"/>
  <c r="BI183" i="34"/>
  <c r="BG183" i="34"/>
  <c r="BE183" i="34"/>
  <c r="BC183" i="34" s="1"/>
  <c r="AZ183" i="34"/>
  <c r="AY183" i="34"/>
  <c r="AV183" i="34"/>
  <c r="AU183" i="34"/>
  <c r="AT183" i="34"/>
  <c r="AS183" i="34"/>
  <c r="AO183" i="34"/>
  <c r="AO175" i="34" s="1"/>
  <c r="AM183" i="34"/>
  <c r="AL183" i="34"/>
  <c r="AK183" i="34"/>
  <c r="AJ183" i="34"/>
  <c r="AJ175" i="34" s="1"/>
  <c r="AG183" i="34"/>
  <c r="AE183" i="34"/>
  <c r="AC183" i="34"/>
  <c r="AB183" i="34"/>
  <c r="AA183" i="34"/>
  <c r="Z183" i="34"/>
  <c r="Y183" i="34"/>
  <c r="W183" i="34"/>
  <c r="U183" i="34"/>
  <c r="S183" i="34"/>
  <c r="M183" i="34"/>
  <c r="G183" i="34"/>
  <c r="F183" i="34"/>
  <c r="F175" i="34" s="1"/>
  <c r="BJ182" i="34"/>
  <c r="BH182" i="34"/>
  <c r="BE182" i="34"/>
  <c r="BC182" i="34" s="1"/>
  <c r="AV182" i="34"/>
  <c r="AU182" i="34"/>
  <c r="AH182" i="34"/>
  <c r="AF182" i="34"/>
  <c r="AD182" i="34" s="1"/>
  <c r="AC182" i="34"/>
  <c r="AI182" i="34" s="1"/>
  <c r="N182" i="34" s="1"/>
  <c r="Z182" i="34"/>
  <c r="X182" i="34"/>
  <c r="U182" i="34"/>
  <c r="U176" i="34" s="1"/>
  <c r="AF181" i="34"/>
  <c r="AD181" i="34" s="1"/>
  <c r="AC181" i="34"/>
  <c r="AI181" i="34" s="1"/>
  <c r="N181" i="34" s="1"/>
  <c r="AF180" i="34"/>
  <c r="AD180" i="34" s="1"/>
  <c r="AC180" i="34"/>
  <c r="AI180" i="34" s="1"/>
  <c r="N180" i="34" s="1"/>
  <c r="AF179" i="34"/>
  <c r="AD179" i="34" s="1"/>
  <c r="AC179" i="34"/>
  <c r="AI179" i="34" s="1"/>
  <c r="N179" i="34" s="1"/>
  <c r="AF178" i="34"/>
  <c r="AD178" i="34" s="1"/>
  <c r="AC178" i="34"/>
  <c r="AI178" i="34" s="1"/>
  <c r="N178" i="34" s="1"/>
  <c r="BJ177" i="34"/>
  <c r="BH177" i="34"/>
  <c r="BF177" i="34" s="1"/>
  <c r="BE177" i="34"/>
  <c r="AT177" i="34"/>
  <c r="AR177" i="34" s="1"/>
  <c r="AH177" i="34"/>
  <c r="AE177" i="34"/>
  <c r="Z177" i="34"/>
  <c r="Z176" i="34" s="1"/>
  <c r="X177" i="34"/>
  <c r="U177" i="34"/>
  <c r="I177" i="34"/>
  <c r="BT176" i="34"/>
  <c r="BT175" i="34" s="1"/>
  <c r="BS176" i="34"/>
  <c r="BR176" i="34"/>
  <c r="BQ176" i="34"/>
  <c r="BQ175" i="34" s="1"/>
  <c r="BP176" i="34"/>
  <c r="BP175" i="34" s="1"/>
  <c r="BO176" i="34"/>
  <c r="BN176" i="34"/>
  <c r="BM176" i="34"/>
  <c r="BM175" i="34" s="1"/>
  <c r="BL176" i="34"/>
  <c r="BL175" i="34" s="1"/>
  <c r="BK176" i="34"/>
  <c r="BJ176" i="34"/>
  <c r="BI176" i="34"/>
  <c r="BI175" i="34" s="1"/>
  <c r="BG176" i="34"/>
  <c r="AZ176" i="34"/>
  <c r="AZ175" i="34" s="1"/>
  <c r="AY176" i="34"/>
  <c r="AU176" i="34"/>
  <c r="AU175" i="34" s="1"/>
  <c r="AT176" i="34"/>
  <c r="AT175" i="34" s="1"/>
  <c r="AO176" i="34"/>
  <c r="AM176" i="34"/>
  <c r="AL176" i="34"/>
  <c r="AL175" i="34" s="1"/>
  <c r="AK176" i="34"/>
  <c r="AK175" i="34" s="1"/>
  <c r="AJ176" i="34"/>
  <c r="AH176" i="34"/>
  <c r="AG176" i="34"/>
  <c r="AG175" i="34" s="1"/>
  <c r="AB176" i="34"/>
  <c r="AB175" i="34" s="1"/>
  <c r="AA176" i="34"/>
  <c r="AA175" i="34" s="1"/>
  <c r="Y176" i="34"/>
  <c r="W176" i="34"/>
  <c r="W175" i="34" s="1"/>
  <c r="T176" i="34"/>
  <c r="M176" i="34"/>
  <c r="M175" i="34" s="1"/>
  <c r="G176" i="34"/>
  <c r="G175" i="34" s="1"/>
  <c r="F176" i="34"/>
  <c r="BS175" i="34"/>
  <c r="BR175" i="34"/>
  <c r="BO175" i="34"/>
  <c r="BN175" i="34"/>
  <c r="BK175" i="34"/>
  <c r="BJ175" i="34"/>
  <c r="BG175" i="34"/>
  <c r="AY175" i="34"/>
  <c r="AM175" i="34"/>
  <c r="Y175" i="34"/>
  <c r="T175" i="34"/>
  <c r="BJ174" i="34"/>
  <c r="BH174" i="34"/>
  <c r="BE174" i="34"/>
  <c r="BC174" i="34"/>
  <c r="AU174" i="34"/>
  <c r="AS174" i="34" s="1"/>
  <c r="AR174" i="34"/>
  <c r="AX174" i="34" s="1"/>
  <c r="AN174" i="34"/>
  <c r="AH174" i="34"/>
  <c r="AF174" i="34"/>
  <c r="AC174" i="34"/>
  <c r="AI174" i="34" s="1"/>
  <c r="N174" i="34" s="1"/>
  <c r="Z174" i="34"/>
  <c r="X174" i="34"/>
  <c r="U174" i="34"/>
  <c r="S174" i="34"/>
  <c r="BJ173" i="34"/>
  <c r="BH173" i="34"/>
  <c r="BE173" i="34"/>
  <c r="BC173" i="34"/>
  <c r="AW173" i="34"/>
  <c r="AU173" i="34"/>
  <c r="AR173" i="34"/>
  <c r="AX173" i="34" s="1"/>
  <c r="AH173" i="34"/>
  <c r="AF173" i="34"/>
  <c r="AC173" i="34"/>
  <c r="S173" i="34" s="1"/>
  <c r="Z173" i="34"/>
  <c r="X173" i="34"/>
  <c r="V173" i="34" s="1"/>
  <c r="U173" i="34"/>
  <c r="AP173" i="34" s="1"/>
  <c r="BJ172" i="34"/>
  <c r="BH172" i="34"/>
  <c r="BF172" i="34" s="1"/>
  <c r="BE172" i="34"/>
  <c r="BC172" i="34" s="1"/>
  <c r="AW172" i="34"/>
  <c r="AU172" i="34"/>
  <c r="AR172" i="34"/>
  <c r="AX172" i="34" s="1"/>
  <c r="AN172" i="34"/>
  <c r="AH172" i="34"/>
  <c r="AF172" i="34"/>
  <c r="AD172" i="34"/>
  <c r="AC172" i="34"/>
  <c r="AI172" i="34" s="1"/>
  <c r="N172" i="34" s="1"/>
  <c r="Z172" i="34"/>
  <c r="X172" i="34"/>
  <c r="U172" i="34"/>
  <c r="S172" i="34"/>
  <c r="BJ171" i="34"/>
  <c r="BH171" i="34"/>
  <c r="BF171" i="34"/>
  <c r="BE171" i="34"/>
  <c r="BC171" i="34" s="1"/>
  <c r="AV171" i="34"/>
  <c r="AW171" i="34" s="1"/>
  <c r="AU171" i="34"/>
  <c r="AH171" i="34"/>
  <c r="AF171" i="34"/>
  <c r="AD171" i="34" s="1"/>
  <c r="AC171" i="34"/>
  <c r="AI171" i="34" s="1"/>
  <c r="N171" i="34" s="1"/>
  <c r="Z171" i="34"/>
  <c r="X171" i="34"/>
  <c r="V171" i="34" s="1"/>
  <c r="U171" i="34"/>
  <c r="AP171" i="34" s="1"/>
  <c r="S171" i="34"/>
  <c r="BJ170" i="34"/>
  <c r="BH170" i="34"/>
  <c r="BF170" i="34"/>
  <c r="BE170" i="34"/>
  <c r="BC170" i="34" s="1"/>
  <c r="AW170" i="34"/>
  <c r="AU170" i="34"/>
  <c r="AS170" i="34" s="1"/>
  <c r="AR170" i="34"/>
  <c r="AX170" i="34" s="1"/>
  <c r="AH170" i="34"/>
  <c r="AF170" i="34"/>
  <c r="AC170" i="34"/>
  <c r="S170" i="34" s="1"/>
  <c r="Z170" i="34"/>
  <c r="X170" i="34"/>
  <c r="U170" i="34"/>
  <c r="BJ169" i="34"/>
  <c r="BH169" i="34"/>
  <c r="BE169" i="34"/>
  <c r="BC169" i="34" s="1"/>
  <c r="AV169" i="34"/>
  <c r="AW169" i="34" s="1"/>
  <c r="AU169" i="34"/>
  <c r="AH169" i="34"/>
  <c r="AF169" i="34"/>
  <c r="AC169" i="34"/>
  <c r="S169" i="34" s="1"/>
  <c r="Z169" i="34"/>
  <c r="X169" i="34"/>
  <c r="U169" i="34"/>
  <c r="BJ168" i="34"/>
  <c r="BH168" i="34"/>
  <c r="BF168" i="34" s="1"/>
  <c r="BE168" i="34"/>
  <c r="BC168" i="34" s="1"/>
  <c r="AW168" i="34"/>
  <c r="AU168" i="34"/>
  <c r="AS168" i="34" s="1"/>
  <c r="AR168" i="34"/>
  <c r="AH168" i="34"/>
  <c r="AF168" i="34"/>
  <c r="AD168" i="34"/>
  <c r="AC168" i="34"/>
  <c r="AI168" i="34" s="1"/>
  <c r="N168" i="34" s="1"/>
  <c r="Z168" i="34"/>
  <c r="X168" i="34"/>
  <c r="V168" i="34" s="1"/>
  <c r="U168" i="34"/>
  <c r="AP168" i="34" s="1"/>
  <c r="S168" i="34"/>
  <c r="BJ167" i="34"/>
  <c r="BH167" i="34"/>
  <c r="BF167" i="34"/>
  <c r="BE167" i="34"/>
  <c r="BC167" i="34" s="1"/>
  <c r="AW167" i="34"/>
  <c r="AU167" i="34"/>
  <c r="AS167" i="34" s="1"/>
  <c r="AR167" i="34"/>
  <c r="AX167" i="34" s="1"/>
  <c r="AH167" i="34"/>
  <c r="AF167" i="34"/>
  <c r="AD167" i="34" s="1"/>
  <c r="AC167" i="34"/>
  <c r="S167" i="34" s="1"/>
  <c r="Z167" i="34"/>
  <c r="X167" i="34"/>
  <c r="U167" i="34"/>
  <c r="BJ166" i="34"/>
  <c r="BH166" i="34"/>
  <c r="BE166" i="34"/>
  <c r="BC166" i="34" s="1"/>
  <c r="AV166" i="34"/>
  <c r="AW166" i="34" s="1"/>
  <c r="AU166" i="34"/>
  <c r="AH166" i="34"/>
  <c r="AF166" i="34"/>
  <c r="AC166" i="34"/>
  <c r="S166" i="34" s="1"/>
  <c r="Z166" i="34"/>
  <c r="X166" i="34"/>
  <c r="U166" i="34"/>
  <c r="BJ165" i="34"/>
  <c r="BH165" i="34"/>
  <c r="BF165" i="34" s="1"/>
  <c r="BE165" i="34"/>
  <c r="BC165" i="34" s="1"/>
  <c r="AV165" i="34"/>
  <c r="AW165" i="34" s="1"/>
  <c r="AU165" i="34"/>
  <c r="AH165" i="34"/>
  <c r="AF165" i="34"/>
  <c r="AC165" i="34"/>
  <c r="S165" i="34" s="1"/>
  <c r="Z165" i="34"/>
  <c r="X165" i="34"/>
  <c r="V165" i="34" s="1"/>
  <c r="U165" i="34"/>
  <c r="AP165" i="34" s="1"/>
  <c r="BJ164" i="34"/>
  <c r="BH164" i="34"/>
  <c r="BF164" i="34" s="1"/>
  <c r="BE164" i="34"/>
  <c r="BC164" i="34" s="1"/>
  <c r="AW164" i="34"/>
  <c r="AU164" i="34"/>
  <c r="AR164" i="34"/>
  <c r="AX164" i="34" s="1"/>
  <c r="AN164" i="34"/>
  <c r="AH164" i="34"/>
  <c r="AF164" i="34"/>
  <c r="AD164" i="34"/>
  <c r="AC164" i="34"/>
  <c r="Z164" i="34"/>
  <c r="X164" i="34"/>
  <c r="U164" i="34"/>
  <c r="S164" i="34"/>
  <c r="BJ163" i="34"/>
  <c r="BH163" i="34"/>
  <c r="BF163" i="34"/>
  <c r="BE163" i="34"/>
  <c r="BC163" i="34" s="1"/>
  <c r="AW163" i="34"/>
  <c r="AU163" i="34"/>
  <c r="AS163" i="34" s="1"/>
  <c r="AR163" i="34"/>
  <c r="AX163" i="34" s="1"/>
  <c r="AH163" i="34"/>
  <c r="AF163" i="34"/>
  <c r="AC163" i="34"/>
  <c r="S163" i="34" s="1"/>
  <c r="Z163" i="34"/>
  <c r="X163" i="34"/>
  <c r="U163" i="34"/>
  <c r="BJ162" i="34"/>
  <c r="BH162" i="34"/>
  <c r="BF162" i="34" s="1"/>
  <c r="BE162" i="34"/>
  <c r="BC162" i="34" s="1"/>
  <c r="AV162" i="34"/>
  <c r="AW162" i="34" s="1"/>
  <c r="AU162" i="34"/>
  <c r="AR162" i="34"/>
  <c r="AH162" i="34"/>
  <c r="AF162" i="34"/>
  <c r="AC162" i="34"/>
  <c r="AI162" i="34" s="1"/>
  <c r="N162" i="34" s="1"/>
  <c r="Z162" i="34"/>
  <c r="X162" i="34"/>
  <c r="U162" i="34"/>
  <c r="AP162" i="34" s="1"/>
  <c r="S162" i="34"/>
  <c r="BJ161" i="34"/>
  <c r="BH161" i="34"/>
  <c r="BE161" i="34"/>
  <c r="BC161" i="34" s="1"/>
  <c r="AV161" i="34"/>
  <c r="AU161" i="34"/>
  <c r="AH161" i="34"/>
  <c r="AF161" i="34"/>
  <c r="AC161" i="34"/>
  <c r="AI161" i="34" s="1"/>
  <c r="N161" i="34" s="1"/>
  <c r="Z161" i="34"/>
  <c r="X161" i="34"/>
  <c r="U161" i="34"/>
  <c r="AP161" i="34" s="1"/>
  <c r="S161" i="34"/>
  <c r="BJ160" i="34"/>
  <c r="BH160" i="34"/>
  <c r="BE160" i="34"/>
  <c r="BC160" i="34" s="1"/>
  <c r="AV160" i="34"/>
  <c r="AU160" i="34"/>
  <c r="AH160" i="34"/>
  <c r="AF160" i="34"/>
  <c r="AC160" i="34"/>
  <c r="AI160" i="34" s="1"/>
  <c r="N160" i="34" s="1"/>
  <c r="Z160" i="34"/>
  <c r="X160" i="34"/>
  <c r="V160" i="34" s="1"/>
  <c r="U160" i="34"/>
  <c r="AP160" i="34" s="1"/>
  <c r="S160" i="34"/>
  <c r="BJ159" i="34"/>
  <c r="BH159" i="34"/>
  <c r="BF159" i="34" s="1"/>
  <c r="BE159" i="34"/>
  <c r="BC159" i="34"/>
  <c r="AV159" i="34"/>
  <c r="AU159" i="34"/>
  <c r="AH159" i="34"/>
  <c r="AF159" i="34"/>
  <c r="AC159" i="34"/>
  <c r="S159" i="34" s="1"/>
  <c r="Z159" i="34"/>
  <c r="X159" i="34"/>
  <c r="U159" i="34"/>
  <c r="AP159" i="34" s="1"/>
  <c r="BJ158" i="34"/>
  <c r="BH158" i="34"/>
  <c r="BF158" i="34" s="1"/>
  <c r="BE158" i="34"/>
  <c r="BC158" i="34" s="1"/>
  <c r="AV158" i="34"/>
  <c r="AW158" i="34" s="1"/>
  <c r="AU158" i="34"/>
  <c r="AH158" i="34"/>
  <c r="AF158" i="34"/>
  <c r="AC158" i="34"/>
  <c r="Y158" i="34"/>
  <c r="Z158" i="34" s="1"/>
  <c r="X158" i="34"/>
  <c r="S158" i="34"/>
  <c r="BJ157" i="34"/>
  <c r="BH157" i="34"/>
  <c r="BF157" i="34"/>
  <c r="BE157" i="34"/>
  <c r="BC157" i="34" s="1"/>
  <c r="AV157" i="34"/>
  <c r="AU157" i="34"/>
  <c r="AH157" i="34"/>
  <c r="AF157" i="34"/>
  <c r="AC157" i="34"/>
  <c r="AI157" i="34" s="1"/>
  <c r="N157" i="34" s="1"/>
  <c r="Z157" i="34"/>
  <c r="X157" i="34"/>
  <c r="V157" i="34" s="1"/>
  <c r="U157" i="34"/>
  <c r="AP157" i="34" s="1"/>
  <c r="S157" i="34"/>
  <c r="BJ156" i="34"/>
  <c r="BH156" i="34"/>
  <c r="BE156" i="34"/>
  <c r="BC156" i="34" s="1"/>
  <c r="AW156" i="34"/>
  <c r="AT156" i="34"/>
  <c r="AU156" i="34" s="1"/>
  <c r="AR156" i="34"/>
  <c r="AX156" i="34" s="1"/>
  <c r="AH156" i="34"/>
  <c r="AF156" i="34"/>
  <c r="AC156" i="34"/>
  <c r="AI156" i="34" s="1"/>
  <c r="N156" i="34" s="1"/>
  <c r="Z156" i="34"/>
  <c r="X156" i="34"/>
  <c r="U156" i="34"/>
  <c r="S156" i="34"/>
  <c r="BJ155" i="34"/>
  <c r="BH155" i="34"/>
  <c r="BE155" i="34"/>
  <c r="BC155" i="34" s="1"/>
  <c r="AW155" i="34"/>
  <c r="AV155" i="34"/>
  <c r="AU155" i="34"/>
  <c r="AR155" i="34"/>
  <c r="AX155" i="34" s="1"/>
  <c r="AN155" i="34"/>
  <c r="AH155" i="34"/>
  <c r="AF155" i="34"/>
  <c r="AC155" i="34"/>
  <c r="Z155" i="34"/>
  <c r="X155" i="34"/>
  <c r="V155" i="34" s="1"/>
  <c r="BJ154" i="34"/>
  <c r="BH154" i="34"/>
  <c r="BE154" i="34"/>
  <c r="BC154" i="34" s="1"/>
  <c r="AV154" i="34"/>
  <c r="AW154" i="34" s="1"/>
  <c r="AU154" i="34"/>
  <c r="AH154" i="34"/>
  <c r="AF154" i="34"/>
  <c r="AC154" i="34"/>
  <c r="S154" i="34" s="1"/>
  <c r="Z154" i="34"/>
  <c r="X154" i="34"/>
  <c r="U154" i="34"/>
  <c r="BJ153" i="34"/>
  <c r="BH153" i="34"/>
  <c r="BE153" i="34"/>
  <c r="BC153" i="34" s="1"/>
  <c r="AV153" i="34"/>
  <c r="AW153" i="34" s="1"/>
  <c r="AU153" i="34"/>
  <c r="AH153" i="34"/>
  <c r="AF153" i="34"/>
  <c r="AC153" i="34"/>
  <c r="S153" i="34" s="1"/>
  <c r="Z153" i="34"/>
  <c r="X153" i="34"/>
  <c r="V153" i="34" s="1"/>
  <c r="U153" i="34"/>
  <c r="BJ152" i="34"/>
  <c r="BH152" i="34"/>
  <c r="BE152" i="34"/>
  <c r="BC152" i="34" s="1"/>
  <c r="AV152" i="34"/>
  <c r="AW152" i="34" s="1"/>
  <c r="AU152" i="34"/>
  <c r="AH152" i="34"/>
  <c r="AF152" i="34"/>
  <c r="AD152" i="34" s="1"/>
  <c r="AC152" i="34"/>
  <c r="S152" i="34" s="1"/>
  <c r="Z152" i="34"/>
  <c r="X152" i="34"/>
  <c r="U152" i="34"/>
  <c r="AP152" i="34" s="1"/>
  <c r="BJ151" i="34"/>
  <c r="BH151" i="34"/>
  <c r="BF151" i="34" s="1"/>
  <c r="BE151" i="34"/>
  <c r="BC151" i="34" s="1"/>
  <c r="AW151" i="34"/>
  <c r="AU151" i="34"/>
  <c r="AR151" i="34"/>
  <c r="AH151" i="34"/>
  <c r="AH149" i="34" s="1"/>
  <c r="AH148" i="34" s="1"/>
  <c r="AF151" i="34"/>
  <c r="AC151" i="34"/>
  <c r="AI151" i="34" s="1"/>
  <c r="N151" i="34" s="1"/>
  <c r="Z151" i="34"/>
  <c r="X151" i="34"/>
  <c r="U151" i="34"/>
  <c r="AP151" i="34" s="1"/>
  <c r="S151" i="34"/>
  <c r="I151" i="34"/>
  <c r="BJ150" i="34"/>
  <c r="BJ149" i="34" s="1"/>
  <c r="BJ148" i="34" s="1"/>
  <c r="BH150" i="34"/>
  <c r="BE150" i="34"/>
  <c r="AR150" i="34"/>
  <c r="AX150" i="34" s="1"/>
  <c r="AN150" i="34"/>
  <c r="AH150" i="34"/>
  <c r="AF150" i="34"/>
  <c r="AC150" i="34"/>
  <c r="S150" i="34" s="1"/>
  <c r="Z150" i="34"/>
  <c r="X150" i="34"/>
  <c r="U150" i="34"/>
  <c r="I150" i="34"/>
  <c r="BT149" i="34"/>
  <c r="BT148" i="34" s="1"/>
  <c r="BS149" i="34"/>
  <c r="BS148" i="34" s="1"/>
  <c r="BR149" i="34"/>
  <c r="BQ149" i="34"/>
  <c r="BQ148" i="34" s="1"/>
  <c r="BP149" i="34"/>
  <c r="BO149" i="34"/>
  <c r="BN149" i="34"/>
  <c r="BM149" i="34"/>
  <c r="BM148" i="34" s="1"/>
  <c r="BL149" i="34"/>
  <c r="BL148" i="34" s="1"/>
  <c r="BK149" i="34"/>
  <c r="BI149" i="34"/>
  <c r="BI148" i="34" s="1"/>
  <c r="BG149" i="34"/>
  <c r="BG148" i="34" s="1"/>
  <c r="AZ149" i="34"/>
  <c r="AZ148" i="34" s="1"/>
  <c r="AY149" i="34"/>
  <c r="AT149" i="34"/>
  <c r="AQ149" i="34"/>
  <c r="AQ148" i="34" s="1"/>
  <c r="AO149" i="34"/>
  <c r="AM149" i="34"/>
  <c r="AM148" i="34" s="1"/>
  <c r="AL149" i="34"/>
  <c r="AK149" i="34"/>
  <c r="AK148" i="34" s="1"/>
  <c r="AJ149" i="34"/>
  <c r="AG149" i="34"/>
  <c r="AF149" i="34"/>
  <c r="AF148" i="34" s="1"/>
  <c r="AE149" i="34"/>
  <c r="AB149" i="34"/>
  <c r="AA149" i="34"/>
  <c r="AA148" i="34" s="1"/>
  <c r="Y149" i="34"/>
  <c r="W149" i="34"/>
  <c r="T149" i="34"/>
  <c r="T148" i="34" s="1"/>
  <c r="M149" i="34"/>
  <c r="G149" i="34"/>
  <c r="G148" i="34" s="1"/>
  <c r="F149" i="34"/>
  <c r="BR148" i="34"/>
  <c r="BP148" i="34"/>
  <c r="BO148" i="34"/>
  <c r="BN148" i="34"/>
  <c r="BK148" i="34"/>
  <c r="AY148" i="34"/>
  <c r="AT148" i="34"/>
  <c r="AO148" i="34"/>
  <c r="AL148" i="34"/>
  <c r="AJ148" i="34"/>
  <c r="AG148" i="34"/>
  <c r="AE148" i="34"/>
  <c r="AB148" i="34"/>
  <c r="Y148" i="34"/>
  <c r="W148" i="34"/>
  <c r="M148" i="34"/>
  <c r="F148" i="34"/>
  <c r="B148" i="34"/>
  <c r="BJ147" i="34"/>
  <c r="BH147" i="34"/>
  <c r="BE147" i="34"/>
  <c r="BC147" i="34" s="1"/>
  <c r="AW147" i="34"/>
  <c r="AU147" i="34"/>
  <c r="AS147" i="34" s="1"/>
  <c r="AR147" i="34"/>
  <c r="AX147" i="34" s="1"/>
  <c r="AH147" i="34"/>
  <c r="AF147" i="34"/>
  <c r="AD147" i="34" s="1"/>
  <c r="AC147" i="34"/>
  <c r="AI147" i="34" s="1"/>
  <c r="N147" i="34" s="1"/>
  <c r="Z147" i="34"/>
  <c r="X147" i="34"/>
  <c r="U147" i="34"/>
  <c r="AP147" i="34" s="1"/>
  <c r="S147" i="34"/>
  <c r="BJ146" i="34"/>
  <c r="BH146" i="34"/>
  <c r="BE146" i="34"/>
  <c r="BC146" i="34" s="1"/>
  <c r="AW146" i="34"/>
  <c r="AU146" i="34"/>
  <c r="AR146" i="34"/>
  <c r="AX146" i="34" s="1"/>
  <c r="AN146" i="34"/>
  <c r="AH146" i="34"/>
  <c r="AF146" i="34"/>
  <c r="AC146" i="34"/>
  <c r="AI146" i="34" s="1"/>
  <c r="N146" i="34" s="1"/>
  <c r="Z146" i="34"/>
  <c r="X146" i="34"/>
  <c r="U146" i="34"/>
  <c r="S146" i="34"/>
  <c r="BJ145" i="34"/>
  <c r="BH145" i="34"/>
  <c r="BE145" i="34"/>
  <c r="BC145" i="34"/>
  <c r="AW145" i="34"/>
  <c r="AU145" i="34"/>
  <c r="AR145" i="34"/>
  <c r="AX145" i="34" s="1"/>
  <c r="AH145" i="34"/>
  <c r="AF145" i="34"/>
  <c r="AC145" i="34"/>
  <c r="AI145" i="34" s="1"/>
  <c r="N145" i="34" s="1"/>
  <c r="Z145" i="34"/>
  <c r="X145" i="34"/>
  <c r="V145" i="34" s="1"/>
  <c r="U145" i="34"/>
  <c r="AP145" i="34" s="1"/>
  <c r="S145" i="34"/>
  <c r="BJ144" i="34"/>
  <c r="BH144" i="34"/>
  <c r="BF144" i="34" s="1"/>
  <c r="BE144" i="34"/>
  <c r="BC144" i="34" s="1"/>
  <c r="AV144" i="34"/>
  <c r="AW144" i="34" s="1"/>
  <c r="AU144" i="34"/>
  <c r="AH144" i="34"/>
  <c r="AF144" i="34"/>
  <c r="AD144" i="34" s="1"/>
  <c r="AC144" i="34"/>
  <c r="AI144" i="34" s="1"/>
  <c r="N144" i="34" s="1"/>
  <c r="Z144" i="34"/>
  <c r="X144" i="34"/>
  <c r="V144" i="34" s="1"/>
  <c r="U144" i="34"/>
  <c r="AP144" i="34" s="1"/>
  <c r="BC143" i="34"/>
  <c r="AS143" i="34"/>
  <c r="AR143" i="34"/>
  <c r="AP143" i="34"/>
  <c r="AI143" i="34"/>
  <c r="S143" i="34"/>
  <c r="BJ142" i="34"/>
  <c r="BF142" i="34" s="1"/>
  <c r="BH142" i="34"/>
  <c r="BE142" i="34"/>
  <c r="BC142" i="34"/>
  <c r="AW142" i="34"/>
  <c r="AT142" i="34"/>
  <c r="AU142" i="34" s="1"/>
  <c r="AH142" i="34"/>
  <c r="AE142" i="34"/>
  <c r="Z142" i="34"/>
  <c r="W142" i="34"/>
  <c r="I142" i="34"/>
  <c r="BJ141" i="34"/>
  <c r="BJ135" i="34" s="1"/>
  <c r="BJ134" i="34" s="1"/>
  <c r="BH141" i="34"/>
  <c r="BE141" i="34"/>
  <c r="BC141" i="34" s="1"/>
  <c r="AW141" i="34"/>
  <c r="AU141" i="34"/>
  <c r="AS141" i="34" s="1"/>
  <c r="AR141" i="34"/>
  <c r="AN141" i="34"/>
  <c r="AH141" i="34"/>
  <c r="AF141" i="34"/>
  <c r="AC141" i="34"/>
  <c r="S141" i="34" s="1"/>
  <c r="Z141" i="34"/>
  <c r="X141" i="34"/>
  <c r="V141" i="34" s="1"/>
  <c r="U141" i="34"/>
  <c r="AP141" i="34" s="1"/>
  <c r="I141" i="34"/>
  <c r="BJ140" i="34"/>
  <c r="BH140" i="34"/>
  <c r="BE140" i="34"/>
  <c r="BC140" i="34" s="1"/>
  <c r="AW140" i="34"/>
  <c r="AU140" i="34"/>
  <c r="AS140" i="34" s="1"/>
  <c r="AR140" i="34"/>
  <c r="AN140" i="34" s="1"/>
  <c r="AH140" i="34"/>
  <c r="AF140" i="34"/>
  <c r="AD140" i="34" s="1"/>
  <c r="AC140" i="34"/>
  <c r="AI140" i="34" s="1"/>
  <c r="N140" i="34" s="1"/>
  <c r="Z140" i="34"/>
  <c r="X140" i="34"/>
  <c r="U140" i="34"/>
  <c r="S140" i="34"/>
  <c r="I140" i="34"/>
  <c r="BJ139" i="34"/>
  <c r="BH139" i="34"/>
  <c r="BF139" i="34" s="1"/>
  <c r="BE139" i="34"/>
  <c r="BC139" i="34" s="1"/>
  <c r="AW139" i="34"/>
  <c r="AU139" i="34"/>
  <c r="AS139" i="34"/>
  <c r="AR139" i="34"/>
  <c r="AN139" i="34" s="1"/>
  <c r="AH139" i="34"/>
  <c r="AF139" i="34"/>
  <c r="AD139" i="34" s="1"/>
  <c r="AC139" i="34"/>
  <c r="S139" i="34" s="1"/>
  <c r="Z139" i="34"/>
  <c r="X139" i="34"/>
  <c r="U139" i="34"/>
  <c r="I139" i="34"/>
  <c r="BJ138" i="34"/>
  <c r="BH138" i="34"/>
  <c r="BF138" i="34"/>
  <c r="BE138" i="34"/>
  <c r="BC138" i="34" s="1"/>
  <c r="AW138" i="34"/>
  <c r="AU138" i="34"/>
  <c r="AS138" i="34" s="1"/>
  <c r="AR138" i="34"/>
  <c r="AN138" i="34" s="1"/>
  <c r="AH138" i="34"/>
  <c r="AF138" i="34"/>
  <c r="AD138" i="34" s="1"/>
  <c r="AC138" i="34"/>
  <c r="AI138" i="34" s="1"/>
  <c r="N138" i="34" s="1"/>
  <c r="Z138" i="34"/>
  <c r="X138" i="34"/>
  <c r="U138" i="34"/>
  <c r="S138" i="34"/>
  <c r="I138" i="34"/>
  <c r="BJ137" i="34"/>
  <c r="BH137" i="34"/>
  <c r="BF137" i="34" s="1"/>
  <c r="BE137" i="34"/>
  <c r="BC137" i="34" s="1"/>
  <c r="AW137" i="34"/>
  <c r="AU137" i="34"/>
  <c r="AS137" i="34"/>
  <c r="AR137" i="34"/>
  <c r="AN137" i="34" s="1"/>
  <c r="AH137" i="34"/>
  <c r="AF137" i="34"/>
  <c r="AD137" i="34" s="1"/>
  <c r="AC137" i="34"/>
  <c r="Z137" i="34"/>
  <c r="X137" i="34"/>
  <c r="U137" i="34"/>
  <c r="I137" i="34"/>
  <c r="BJ136" i="34"/>
  <c r="BH136" i="34"/>
  <c r="BF136" i="34"/>
  <c r="BE136" i="34"/>
  <c r="AR136" i="34"/>
  <c r="AN136" i="34"/>
  <c r="AH136" i="34"/>
  <c r="AH135" i="34" s="1"/>
  <c r="AH134" i="34" s="1"/>
  <c r="AF136" i="34"/>
  <c r="AC136" i="34"/>
  <c r="S136" i="34" s="1"/>
  <c r="Z136" i="34"/>
  <c r="X136" i="34"/>
  <c r="U136" i="34"/>
  <c r="I136" i="34"/>
  <c r="BT135" i="34"/>
  <c r="BT134" i="34" s="1"/>
  <c r="BS135" i="34"/>
  <c r="BS134" i="34" s="1"/>
  <c r="BR135" i="34"/>
  <c r="BQ135" i="34"/>
  <c r="BP135" i="34"/>
  <c r="BP134" i="34" s="1"/>
  <c r="BO135" i="34"/>
  <c r="BO134" i="34" s="1"/>
  <c r="BN135" i="34"/>
  <c r="BN134" i="34" s="1"/>
  <c r="BM135" i="34"/>
  <c r="BL135" i="34"/>
  <c r="BK135" i="34"/>
  <c r="BK134" i="34" s="1"/>
  <c r="BI135" i="34"/>
  <c r="BG135" i="34"/>
  <c r="BG134" i="34" s="1"/>
  <c r="AZ135" i="34"/>
  <c r="AY135" i="34"/>
  <c r="AY134" i="34" s="1"/>
  <c r="AV135" i="34"/>
  <c r="AV134" i="34" s="1"/>
  <c r="AT135" i="34"/>
  <c r="AQ135" i="34"/>
  <c r="AO135" i="34"/>
  <c r="AO134" i="34" s="1"/>
  <c r="AM135" i="34"/>
  <c r="AM134" i="34" s="1"/>
  <c r="AL135" i="34"/>
  <c r="AL134" i="34" s="1"/>
  <c r="AK135" i="34"/>
  <c r="AJ135" i="34"/>
  <c r="AG135" i="34"/>
  <c r="AB135" i="34"/>
  <c r="AB134" i="34" s="1"/>
  <c r="AA135" i="34"/>
  <c r="Y135" i="34"/>
  <c r="Y134" i="34" s="1"/>
  <c r="T135" i="34"/>
  <c r="T134" i="34" s="1"/>
  <c r="M135" i="34"/>
  <c r="M134" i="34" s="1"/>
  <c r="H135" i="34"/>
  <c r="G135" i="34"/>
  <c r="F135" i="34"/>
  <c r="F134" i="34" s="1"/>
  <c r="BR134" i="34"/>
  <c r="BQ134" i="34"/>
  <c r="BM134" i="34"/>
  <c r="BL134" i="34"/>
  <c r="BI134" i="34"/>
  <c r="AZ134" i="34"/>
  <c r="AT134" i="34"/>
  <c r="AQ134" i="34"/>
  <c r="AK134" i="34"/>
  <c r="AJ134" i="34"/>
  <c r="AG134" i="34"/>
  <c r="AA134" i="34"/>
  <c r="H134" i="34"/>
  <c r="G134" i="34"/>
  <c r="BJ133" i="34"/>
  <c r="BJ132" i="34" s="1"/>
  <c r="BH133" i="34"/>
  <c r="BE133" i="34"/>
  <c r="BC133" i="34" s="1"/>
  <c r="AV133" i="34"/>
  <c r="AR133" i="34" s="1"/>
  <c r="AH133" i="34"/>
  <c r="AH132" i="34" s="1"/>
  <c r="AF133" i="34"/>
  <c r="AC133" i="34"/>
  <c r="Z133" i="34"/>
  <c r="X133" i="34"/>
  <c r="X132" i="34" s="1"/>
  <c r="U133" i="34"/>
  <c r="BM132" i="34"/>
  <c r="BL132" i="34"/>
  <c r="BK132" i="34"/>
  <c r="BI132" i="34"/>
  <c r="BG132" i="34"/>
  <c r="BG111" i="34" s="1"/>
  <c r="AZ132" i="34"/>
  <c r="AY132" i="34"/>
  <c r="AY111" i="34" s="1"/>
  <c r="AW132" i="34"/>
  <c r="AV132" i="34"/>
  <c r="AU132" i="34"/>
  <c r="AT132" i="34"/>
  <c r="AS132" i="34"/>
  <c r="AO132" i="34"/>
  <c r="AM132" i="34"/>
  <c r="AL132" i="34"/>
  <c r="AL28" i="34" s="1"/>
  <c r="AK132" i="34"/>
  <c r="AJ132" i="34"/>
  <c r="AG132" i="34"/>
  <c r="AF132" i="34"/>
  <c r="AE132" i="34"/>
  <c r="AB132" i="34"/>
  <c r="AA132" i="34"/>
  <c r="Z132" i="34"/>
  <c r="Y132" i="34"/>
  <c r="W132" i="34"/>
  <c r="U132" i="34"/>
  <c r="U28" i="34" s="1"/>
  <c r="M132" i="34"/>
  <c r="G132" i="34"/>
  <c r="F132" i="34"/>
  <c r="BH131" i="34"/>
  <c r="BF131" i="34"/>
  <c r="BE131" i="34"/>
  <c r="BC131" i="34"/>
  <c r="AV131" i="34"/>
  <c r="AU131" i="34"/>
  <c r="AT131" i="34"/>
  <c r="AH131" i="34"/>
  <c r="AF131" i="34"/>
  <c r="AC131" i="34"/>
  <c r="S131" i="34" s="1"/>
  <c r="Y131" i="34"/>
  <c r="Z131" i="34" s="1"/>
  <c r="X131" i="34"/>
  <c r="BJ130" i="34"/>
  <c r="BH130" i="34"/>
  <c r="BF130" i="34"/>
  <c r="BE130" i="34"/>
  <c r="BC130" i="34" s="1"/>
  <c r="AU130" i="34"/>
  <c r="AR130" i="34"/>
  <c r="AX130" i="34" s="1"/>
  <c r="AH130" i="34"/>
  <c r="AF130" i="34"/>
  <c r="AC130" i="34"/>
  <c r="S130" i="34" s="1"/>
  <c r="Z130" i="34"/>
  <c r="X130" i="34"/>
  <c r="V130" i="34" s="1"/>
  <c r="U130" i="34"/>
  <c r="AP130" i="34" s="1"/>
  <c r="BJ129" i="34"/>
  <c r="BH129" i="34"/>
  <c r="BE129" i="34"/>
  <c r="BC129" i="34" s="1"/>
  <c r="AV129" i="34"/>
  <c r="AW129" i="34" s="1"/>
  <c r="AU129" i="34"/>
  <c r="AH129" i="34"/>
  <c r="AF129" i="34"/>
  <c r="AD129" i="34" s="1"/>
  <c r="AC129" i="34"/>
  <c r="S129" i="34" s="1"/>
  <c r="Z129" i="34"/>
  <c r="X129" i="34"/>
  <c r="V129" i="34" s="1"/>
  <c r="U129" i="34"/>
  <c r="AP129" i="34" s="1"/>
  <c r="BJ128" i="34"/>
  <c r="BH128" i="34"/>
  <c r="BE128" i="34"/>
  <c r="BC128" i="34" s="1"/>
  <c r="AV128" i="34"/>
  <c r="AU128" i="34"/>
  <c r="AH128" i="34"/>
  <c r="AF128" i="34"/>
  <c r="AD128" i="34" s="1"/>
  <c r="AC128" i="34"/>
  <c r="S128" i="34" s="1"/>
  <c r="Z128" i="34"/>
  <c r="X128" i="34"/>
  <c r="U128" i="34"/>
  <c r="BJ127" i="34"/>
  <c r="BH127" i="34"/>
  <c r="BE127" i="34"/>
  <c r="BC127" i="34" s="1"/>
  <c r="AW127" i="34"/>
  <c r="AU127" i="34"/>
  <c r="AS127" i="34" s="1"/>
  <c r="AR127" i="34"/>
  <c r="AH127" i="34"/>
  <c r="AF127" i="34"/>
  <c r="AD127" i="34" s="1"/>
  <c r="AC127" i="34"/>
  <c r="AI127" i="34" s="1"/>
  <c r="N127" i="34" s="1"/>
  <c r="Z127" i="34"/>
  <c r="X127" i="34"/>
  <c r="V127" i="34" s="1"/>
  <c r="U127" i="34"/>
  <c r="S127" i="34"/>
  <c r="BJ126" i="34"/>
  <c r="BH126" i="34"/>
  <c r="BF126" i="34"/>
  <c r="BE126" i="34"/>
  <c r="BC126" i="34" s="1"/>
  <c r="AW126" i="34"/>
  <c r="AV126" i="34"/>
  <c r="AU126" i="34"/>
  <c r="AS126" i="34" s="1"/>
  <c r="AH126" i="34"/>
  <c r="AF126" i="34"/>
  <c r="AC126" i="34"/>
  <c r="AI126" i="34" s="1"/>
  <c r="N126" i="34" s="1"/>
  <c r="Z126" i="34"/>
  <c r="X126" i="34"/>
  <c r="U126" i="34"/>
  <c r="AP126" i="34" s="1"/>
  <c r="S126" i="34"/>
  <c r="BJ125" i="34"/>
  <c r="BH125" i="34"/>
  <c r="BE125" i="34"/>
  <c r="BC125" i="34"/>
  <c r="AW125" i="34"/>
  <c r="AV125" i="34"/>
  <c r="AX125" i="34" s="1"/>
  <c r="AU125" i="34"/>
  <c r="AR125" i="34"/>
  <c r="AN125" i="34" s="1"/>
  <c r="AH125" i="34"/>
  <c r="AF125" i="34"/>
  <c r="AC125" i="34"/>
  <c r="AI125" i="34" s="1"/>
  <c r="N125" i="34" s="1"/>
  <c r="Z125" i="34"/>
  <c r="X125" i="34"/>
  <c r="U125" i="34"/>
  <c r="S125" i="34"/>
  <c r="BJ124" i="34"/>
  <c r="BH124" i="34"/>
  <c r="BE124" i="34"/>
  <c r="BC124" i="34"/>
  <c r="AW124" i="34"/>
  <c r="AV124" i="34"/>
  <c r="AU124" i="34"/>
  <c r="AS124" i="34" s="1"/>
  <c r="AR124" i="34"/>
  <c r="AH124" i="34"/>
  <c r="AF124" i="34"/>
  <c r="AD124" i="34"/>
  <c r="AC124" i="34"/>
  <c r="AI124" i="34" s="1"/>
  <c r="N124" i="34" s="1"/>
  <c r="Z124" i="34"/>
  <c r="X124" i="34"/>
  <c r="V124" i="34" s="1"/>
  <c r="U124" i="34"/>
  <c r="AP124" i="34" s="1"/>
  <c r="S124" i="34"/>
  <c r="BJ123" i="34"/>
  <c r="BH123" i="34"/>
  <c r="BF123" i="34"/>
  <c r="BE123" i="34"/>
  <c r="BC123" i="34" s="1"/>
  <c r="AV123" i="34"/>
  <c r="AR123" i="34" s="1"/>
  <c r="AX123" i="34" s="1"/>
  <c r="AU123" i="34"/>
  <c r="AH123" i="34"/>
  <c r="AF123" i="34"/>
  <c r="AD123" i="34" s="1"/>
  <c r="AC123" i="34"/>
  <c r="AI123" i="34" s="1"/>
  <c r="N123" i="34" s="1"/>
  <c r="Z123" i="34"/>
  <c r="X123" i="34"/>
  <c r="U123" i="34"/>
  <c r="S123" i="34"/>
  <c r="BJ122" i="34"/>
  <c r="BH122" i="34"/>
  <c r="BF122" i="34"/>
  <c r="BE122" i="34"/>
  <c r="BC122" i="34" s="1"/>
  <c r="AV122" i="34"/>
  <c r="AW122" i="34" s="1"/>
  <c r="AU122" i="34"/>
  <c r="AH122" i="34"/>
  <c r="AF122" i="34"/>
  <c r="AD122" i="34" s="1"/>
  <c r="AC122" i="34"/>
  <c r="AI122" i="34" s="1"/>
  <c r="N122" i="34" s="1"/>
  <c r="Z122" i="34"/>
  <c r="X122" i="34"/>
  <c r="V122" i="34" s="1"/>
  <c r="U122" i="34"/>
  <c r="AP122" i="34" s="1"/>
  <c r="S122" i="34"/>
  <c r="BJ121" i="34"/>
  <c r="BH121" i="34"/>
  <c r="BF121" i="34"/>
  <c r="BE121" i="34"/>
  <c r="BC121" i="34" s="1"/>
  <c r="AW121" i="34"/>
  <c r="AU121" i="34"/>
  <c r="AS121" i="34" s="1"/>
  <c r="AR121" i="34"/>
  <c r="AX121" i="34" s="1"/>
  <c r="AH121" i="34"/>
  <c r="AF121" i="34"/>
  <c r="AD121" i="34" s="1"/>
  <c r="AC121" i="34"/>
  <c r="AI121" i="34" s="1"/>
  <c r="N121" i="34" s="1"/>
  <c r="Z121" i="34"/>
  <c r="X121" i="34"/>
  <c r="V121" i="34" s="1"/>
  <c r="U121" i="34"/>
  <c r="AP121" i="34" s="1"/>
  <c r="S121" i="34"/>
  <c r="BJ120" i="34"/>
  <c r="BH120" i="34"/>
  <c r="BF120" i="34"/>
  <c r="BE120" i="34"/>
  <c r="BC120" i="34" s="1"/>
  <c r="AW120" i="34"/>
  <c r="AU120" i="34"/>
  <c r="AS120" i="34" s="1"/>
  <c r="AR120" i="34"/>
  <c r="AN120" i="34" s="1"/>
  <c r="AF120" i="34"/>
  <c r="AD120" i="34" s="1"/>
  <c r="AC120" i="34"/>
  <c r="AI120" i="34" s="1"/>
  <c r="X120" i="34"/>
  <c r="V120" i="34" s="1"/>
  <c r="U120" i="34"/>
  <c r="AF119" i="34"/>
  <c r="AD119" i="34" s="1"/>
  <c r="AC119" i="34"/>
  <c r="AI119" i="34" s="1"/>
  <c r="AF118" i="34"/>
  <c r="AD118" i="34" s="1"/>
  <c r="AC118" i="34"/>
  <c r="AI118" i="34" s="1"/>
  <c r="AF117" i="34"/>
  <c r="AD117" i="34" s="1"/>
  <c r="AC117" i="34"/>
  <c r="AI117" i="34" s="1"/>
  <c r="BJ116" i="34"/>
  <c r="BH116" i="34"/>
  <c r="BF116" i="34" s="1"/>
  <c r="BE116" i="34"/>
  <c r="BC116" i="34" s="1"/>
  <c r="AW116" i="34"/>
  <c r="AT116" i="34"/>
  <c r="AX116" i="34" s="1"/>
  <c r="AR116" i="34"/>
  <c r="AN116" i="34" s="1"/>
  <c r="AH116" i="34"/>
  <c r="AE116" i="34"/>
  <c r="AF116" i="34" s="1"/>
  <c r="AD116" i="34" s="1"/>
  <c r="AC116" i="34"/>
  <c r="AI116" i="34" s="1"/>
  <c r="N116" i="34" s="1"/>
  <c r="Z116" i="34"/>
  <c r="X116" i="34"/>
  <c r="U116" i="34"/>
  <c r="I116" i="34"/>
  <c r="BJ115" i="34"/>
  <c r="BH115" i="34"/>
  <c r="BE115" i="34"/>
  <c r="BC115" i="34" s="1"/>
  <c r="AW115" i="34"/>
  <c r="AU115" i="34"/>
  <c r="AR115" i="34"/>
  <c r="AN115" i="34" s="1"/>
  <c r="AH115" i="34"/>
  <c r="AF115" i="34"/>
  <c r="AD115" i="34" s="1"/>
  <c r="AC115" i="34"/>
  <c r="AI115" i="34" s="1"/>
  <c r="N115" i="34" s="1"/>
  <c r="Z115" i="34"/>
  <c r="X115" i="34"/>
  <c r="V115" i="34" s="1"/>
  <c r="U115" i="34"/>
  <c r="AP115" i="34" s="1"/>
  <c r="S115" i="34"/>
  <c r="I115" i="34"/>
  <c r="BJ114" i="34"/>
  <c r="BH114" i="34"/>
  <c r="BE114" i="34"/>
  <c r="BC114" i="34" s="1"/>
  <c r="AW114" i="34"/>
  <c r="AT114" i="34"/>
  <c r="AH114" i="34"/>
  <c r="AE114" i="34"/>
  <c r="AF114" i="34" s="1"/>
  <c r="AC114" i="34"/>
  <c r="AI114" i="34" s="1"/>
  <c r="N114" i="34" s="1"/>
  <c r="Z114" i="34"/>
  <c r="X114" i="34"/>
  <c r="U114" i="34"/>
  <c r="I114" i="34"/>
  <c r="BJ113" i="34"/>
  <c r="BJ112" i="34" s="1"/>
  <c r="BJ111" i="34" s="1"/>
  <c r="BH113" i="34"/>
  <c r="BE113" i="34"/>
  <c r="BC113" i="34" s="1"/>
  <c r="AR113" i="34"/>
  <c r="AN113" i="34" s="1"/>
  <c r="AH113" i="34"/>
  <c r="AH112" i="34" s="1"/>
  <c r="AH111" i="34" s="1"/>
  <c r="AF113" i="34"/>
  <c r="AC113" i="34"/>
  <c r="S113" i="34" s="1"/>
  <c r="Z113" i="34"/>
  <c r="X113" i="34"/>
  <c r="U113" i="34"/>
  <c r="I113" i="34"/>
  <c r="BT112" i="34"/>
  <c r="BT111" i="34" s="1"/>
  <c r="BS112" i="34"/>
  <c r="BR112" i="34"/>
  <c r="BQ112" i="34"/>
  <c r="BQ111" i="34" s="1"/>
  <c r="BP112" i="34"/>
  <c r="BP111" i="34" s="1"/>
  <c r="BO112" i="34"/>
  <c r="BN112" i="34"/>
  <c r="BM112" i="34"/>
  <c r="BM111" i="34" s="1"/>
  <c r="BL112" i="34"/>
  <c r="BL111" i="34" s="1"/>
  <c r="BK112" i="34"/>
  <c r="BI112" i="34"/>
  <c r="BI111" i="34" s="1"/>
  <c r="BH112" i="34"/>
  <c r="BG112" i="34"/>
  <c r="AZ112" i="34"/>
  <c r="AZ111" i="34" s="1"/>
  <c r="AY112" i="34"/>
  <c r="AO112" i="34"/>
  <c r="AM112" i="34"/>
  <c r="AL112" i="34"/>
  <c r="AK112" i="34"/>
  <c r="AK111" i="34" s="1"/>
  <c r="AJ112" i="34"/>
  <c r="AG112" i="34"/>
  <c r="AG111" i="34" s="1"/>
  <c r="AE112" i="34"/>
  <c r="AE111" i="34" s="1"/>
  <c r="AB112" i="34"/>
  <c r="AA112" i="34"/>
  <c r="AA111" i="34" s="1"/>
  <c r="Z112" i="34"/>
  <c r="Z111" i="34" s="1"/>
  <c r="Y112" i="34"/>
  <c r="W112" i="34"/>
  <c r="W111" i="34" s="1"/>
  <c r="T112" i="34"/>
  <c r="T111" i="34" s="1"/>
  <c r="M112" i="34"/>
  <c r="H112" i="34"/>
  <c r="H111" i="34" s="1"/>
  <c r="G112" i="34"/>
  <c r="G111" i="34" s="1"/>
  <c r="F112" i="34"/>
  <c r="BS111" i="34"/>
  <c r="BR111" i="34"/>
  <c r="BO111" i="34"/>
  <c r="BN111" i="34"/>
  <c r="BK111" i="34"/>
  <c r="AO111" i="34"/>
  <c r="AM111" i="34"/>
  <c r="AJ111" i="34"/>
  <c r="AB111" i="34"/>
  <c r="Y111" i="34"/>
  <c r="M111" i="34"/>
  <c r="F111" i="34"/>
  <c r="BJ110" i="34"/>
  <c r="BH110" i="34"/>
  <c r="BE110" i="34"/>
  <c r="BC110" i="34" s="1"/>
  <c r="AV110" i="34"/>
  <c r="AW110" i="34" s="1"/>
  <c r="AU110" i="34"/>
  <c r="AH110" i="34"/>
  <c r="AF110" i="34"/>
  <c r="AC110" i="34"/>
  <c r="AI110" i="34" s="1"/>
  <c r="N110" i="34" s="1"/>
  <c r="Z110" i="34"/>
  <c r="X110" i="34"/>
  <c r="U110" i="34"/>
  <c r="S110" i="34"/>
  <c r="BJ109" i="34"/>
  <c r="BH109" i="34"/>
  <c r="BE109" i="34"/>
  <c r="BC109" i="34" s="1"/>
  <c r="AW109" i="34"/>
  <c r="AU109" i="34"/>
  <c r="AR109" i="34"/>
  <c r="AX109" i="34" s="1"/>
  <c r="AP109" i="34"/>
  <c r="AN109" i="34"/>
  <c r="AI109" i="34"/>
  <c r="N109" i="34" s="1"/>
  <c r="AH109" i="34"/>
  <c r="AF109" i="34"/>
  <c r="AD109" i="34"/>
  <c r="Z109" i="34"/>
  <c r="X109" i="34"/>
  <c r="S109" i="34"/>
  <c r="BJ108" i="34"/>
  <c r="BH108" i="34"/>
  <c r="BE108" i="34"/>
  <c r="BC108" i="34" s="1"/>
  <c r="AV108" i="34"/>
  <c r="AW108" i="34" s="1"/>
  <c r="AU108" i="34"/>
  <c r="AH108" i="34"/>
  <c r="AF108" i="34"/>
  <c r="AC108" i="34"/>
  <c r="AI108" i="34" s="1"/>
  <c r="N108" i="34" s="1"/>
  <c r="Z108" i="34"/>
  <c r="X108" i="34"/>
  <c r="U108" i="34"/>
  <c r="BJ107" i="34"/>
  <c r="BH107" i="34"/>
  <c r="BE107" i="34"/>
  <c r="BC107" i="34" s="1"/>
  <c r="AV107" i="34"/>
  <c r="AV97" i="34" s="1"/>
  <c r="AV96" i="34" s="1"/>
  <c r="AU107" i="34"/>
  <c r="AH107" i="34"/>
  <c r="AF107" i="34"/>
  <c r="AC107" i="34"/>
  <c r="S107" i="34" s="1"/>
  <c r="Z107" i="34"/>
  <c r="X107" i="34"/>
  <c r="V107" i="34" s="1"/>
  <c r="U107" i="34"/>
  <c r="AP107" i="34" s="1"/>
  <c r="BJ106" i="34"/>
  <c r="BH106" i="34"/>
  <c r="BE106" i="34"/>
  <c r="BC106" i="34" s="1"/>
  <c r="AV106" i="34"/>
  <c r="AW106" i="34" s="1"/>
  <c r="AU106" i="34"/>
  <c r="AH106" i="34"/>
  <c r="AF106" i="34"/>
  <c r="AD106" i="34" s="1"/>
  <c r="AC106" i="34"/>
  <c r="S106" i="34" s="1"/>
  <c r="Z106" i="34"/>
  <c r="X106" i="34"/>
  <c r="U106" i="34"/>
  <c r="BJ105" i="34"/>
  <c r="BH105" i="34"/>
  <c r="BE105" i="34"/>
  <c r="BC105" i="34" s="1"/>
  <c r="AW105" i="34"/>
  <c r="AU105" i="34"/>
  <c r="AR105" i="34"/>
  <c r="AX105" i="34" s="1"/>
  <c r="AH105" i="34"/>
  <c r="AF105" i="34"/>
  <c r="AD105" i="34"/>
  <c r="AC105" i="34"/>
  <c r="AI105" i="34" s="1"/>
  <c r="N105" i="34" s="1"/>
  <c r="Z105" i="34"/>
  <c r="X105" i="34"/>
  <c r="V105" i="34"/>
  <c r="U105" i="34"/>
  <c r="AP105" i="34" s="1"/>
  <c r="BJ104" i="34"/>
  <c r="BH104" i="34"/>
  <c r="BF104" i="34" s="1"/>
  <c r="BE104" i="34"/>
  <c r="BC104" i="34" s="1"/>
  <c r="AV104" i="34"/>
  <c r="AW104" i="34" s="1"/>
  <c r="AU104" i="34"/>
  <c r="AH104" i="34"/>
  <c r="AF104" i="34"/>
  <c r="AD104" i="34" s="1"/>
  <c r="AC104" i="34"/>
  <c r="AI104" i="34" s="1"/>
  <c r="N104" i="34" s="1"/>
  <c r="Z104" i="34"/>
  <c r="X104" i="34"/>
  <c r="V104" i="34" s="1"/>
  <c r="U104" i="34"/>
  <c r="AP104" i="34" s="1"/>
  <c r="AF103" i="34"/>
  <c r="AD103" i="34" s="1"/>
  <c r="AC103" i="34"/>
  <c r="AI103" i="34" s="1"/>
  <c r="AF102" i="34"/>
  <c r="AD102" i="34" s="1"/>
  <c r="AC102" i="34"/>
  <c r="AI102" i="34" s="1"/>
  <c r="AF101" i="34"/>
  <c r="AD101" i="34" s="1"/>
  <c r="AC101" i="34"/>
  <c r="AI101" i="34" s="1"/>
  <c r="BJ100" i="34"/>
  <c r="BH100" i="34"/>
  <c r="BF100" i="34" s="1"/>
  <c r="BE100" i="34"/>
  <c r="BC100" i="34"/>
  <c r="AW100" i="34"/>
  <c r="AT100" i="34"/>
  <c r="AU100" i="34" s="1"/>
  <c r="AH100" i="34"/>
  <c r="AE100" i="34"/>
  <c r="AF100" i="34" s="1"/>
  <c r="Z100" i="34"/>
  <c r="X100" i="34"/>
  <c r="V100" i="34" s="1"/>
  <c r="U100" i="34"/>
  <c r="I100" i="34"/>
  <c r="BJ99" i="34"/>
  <c r="BH99" i="34"/>
  <c r="BE99" i="34"/>
  <c r="BC99" i="34" s="1"/>
  <c r="AW99" i="34"/>
  <c r="AT99" i="34"/>
  <c r="AH99" i="34"/>
  <c r="AE99" i="34"/>
  <c r="AF99" i="34" s="1"/>
  <c r="AC99" i="34"/>
  <c r="AI99" i="34" s="1"/>
  <c r="N99" i="34" s="1"/>
  <c r="Z99" i="34"/>
  <c r="Z97" i="34" s="1"/>
  <c r="X99" i="34"/>
  <c r="U99" i="34"/>
  <c r="I99" i="34"/>
  <c r="I97" i="34" s="1"/>
  <c r="I96" i="34" s="1"/>
  <c r="BJ98" i="34"/>
  <c r="BH98" i="34"/>
  <c r="BE98" i="34"/>
  <c r="BC98" i="34" s="1"/>
  <c r="AU98" i="34"/>
  <c r="AS98" i="34" s="1"/>
  <c r="AR98" i="34"/>
  <c r="AX98" i="34" s="1"/>
  <c r="AH98" i="34"/>
  <c r="AE98" i="34"/>
  <c r="Z98" i="34"/>
  <c r="X98" i="34"/>
  <c r="V98" i="34" s="1"/>
  <c r="U98" i="34"/>
  <c r="I98" i="34"/>
  <c r="BT97" i="34"/>
  <c r="BS97" i="34"/>
  <c r="BS96" i="34" s="1"/>
  <c r="BR97" i="34"/>
  <c r="BR96" i="34" s="1"/>
  <c r="BQ97" i="34"/>
  <c r="BP97" i="34"/>
  <c r="BO97" i="34"/>
  <c r="BO96" i="34" s="1"/>
  <c r="BN97" i="34"/>
  <c r="BN96" i="34" s="1"/>
  <c r="BM97" i="34"/>
  <c r="BL97" i="34"/>
  <c r="BK97" i="34"/>
  <c r="BK96" i="34" s="1"/>
  <c r="BJ97" i="34"/>
  <c r="BJ96" i="34" s="1"/>
  <c r="BI97" i="34"/>
  <c r="BG97" i="34"/>
  <c r="BG96" i="34" s="1"/>
  <c r="BE97" i="34"/>
  <c r="AZ97" i="34"/>
  <c r="AY97" i="34"/>
  <c r="AY96" i="34" s="1"/>
  <c r="AQ97" i="34"/>
  <c r="AO97" i="34"/>
  <c r="AO96" i="34" s="1"/>
  <c r="AM97" i="34"/>
  <c r="AM96" i="34" s="1"/>
  <c r="AL97" i="34"/>
  <c r="AK97" i="34"/>
  <c r="AJ97" i="34"/>
  <c r="AJ96" i="34" s="1"/>
  <c r="AH97" i="34"/>
  <c r="AH96" i="34" s="1"/>
  <c r="AG97" i="34"/>
  <c r="AB97" i="34"/>
  <c r="AB96" i="34" s="1"/>
  <c r="AA97" i="34"/>
  <c r="Y97" i="34"/>
  <c r="Y96" i="34" s="1"/>
  <c r="W97" i="34"/>
  <c r="T97" i="34"/>
  <c r="T96" i="34" s="1"/>
  <c r="M97" i="34"/>
  <c r="M96" i="34" s="1"/>
  <c r="H97" i="34"/>
  <c r="G97" i="34"/>
  <c r="F97" i="34"/>
  <c r="F96" i="34" s="1"/>
  <c r="BT96" i="34"/>
  <c r="BQ96" i="34"/>
  <c r="BP96" i="34"/>
  <c r="BM96" i="34"/>
  <c r="BL96" i="34"/>
  <c r="BI96" i="34"/>
  <c r="BD96" i="34"/>
  <c r="BB96" i="34"/>
  <c r="BA96" i="34"/>
  <c r="AZ96" i="34"/>
  <c r="AQ96" i="34"/>
  <c r="AL96" i="34"/>
  <c r="AK96" i="34"/>
  <c r="AG96" i="34"/>
  <c r="AA96" i="34"/>
  <c r="Z96" i="34"/>
  <c r="W96" i="34"/>
  <c r="R96" i="34"/>
  <c r="Q96" i="34"/>
  <c r="P96" i="34"/>
  <c r="O96" i="34"/>
  <c r="L96" i="34"/>
  <c r="K96" i="34"/>
  <c r="J96" i="34"/>
  <c r="H96" i="34"/>
  <c r="G96" i="34"/>
  <c r="BJ95" i="34"/>
  <c r="BH95" i="34"/>
  <c r="BF95" i="34"/>
  <c r="BE95" i="34"/>
  <c r="BC95" i="34" s="1"/>
  <c r="AV95" i="34"/>
  <c r="AU95" i="34"/>
  <c r="AH95" i="34"/>
  <c r="AF95" i="34"/>
  <c r="AD95" i="34" s="1"/>
  <c r="AC95" i="34"/>
  <c r="AI95" i="34" s="1"/>
  <c r="Z95" i="34"/>
  <c r="X95" i="34"/>
  <c r="U95" i="34"/>
  <c r="AP95" i="34" s="1"/>
  <c r="S95" i="34"/>
  <c r="BJ94" i="34"/>
  <c r="BH94" i="34"/>
  <c r="BE94" i="34"/>
  <c r="BC94" i="34" s="1"/>
  <c r="AW94" i="34"/>
  <c r="AV94" i="34"/>
  <c r="AU94" i="34"/>
  <c r="AR94" i="34"/>
  <c r="AN94" i="34"/>
  <c r="AH94" i="34"/>
  <c r="AF94" i="34"/>
  <c r="AC94" i="34"/>
  <c r="AI94" i="34" s="1"/>
  <c r="Z94" i="34"/>
  <c r="X94" i="34"/>
  <c r="U94" i="34"/>
  <c r="S94" i="34"/>
  <c r="BJ93" i="34"/>
  <c r="BJ91" i="34" s="1"/>
  <c r="BH93" i="34"/>
  <c r="BE93" i="34"/>
  <c r="BK93" i="34" s="1"/>
  <c r="BK91" i="34" s="1"/>
  <c r="BC93" i="34"/>
  <c r="AW93" i="34"/>
  <c r="AV93" i="34"/>
  <c r="AU93" i="34"/>
  <c r="AS93" i="34" s="1"/>
  <c r="AR93" i="34"/>
  <c r="AH93" i="34"/>
  <c r="AF93" i="34"/>
  <c r="AD93" i="34" s="1"/>
  <c r="AC93" i="34"/>
  <c r="AI93" i="34" s="1"/>
  <c r="N93" i="34" s="1"/>
  <c r="Z93" i="34"/>
  <c r="X93" i="34"/>
  <c r="U93" i="34"/>
  <c r="BJ92" i="34"/>
  <c r="BH92" i="34"/>
  <c r="BF92" i="34" s="1"/>
  <c r="BE92" i="34"/>
  <c r="BC92" i="34"/>
  <c r="AV92" i="34"/>
  <c r="AS92" i="34"/>
  <c r="AR92" i="34"/>
  <c r="AX92" i="34" s="1"/>
  <c r="AN92" i="34"/>
  <c r="AH92" i="34"/>
  <c r="AF92" i="34"/>
  <c r="AC92" i="34"/>
  <c r="AI92" i="34" s="1"/>
  <c r="Z92" i="34"/>
  <c r="X92" i="34"/>
  <c r="U92" i="34"/>
  <c r="BT91" i="34"/>
  <c r="BS91" i="34"/>
  <c r="BS60" i="34" s="1"/>
  <c r="BR91" i="34"/>
  <c r="BQ91" i="34"/>
  <c r="BP91" i="34"/>
  <c r="BO91" i="34"/>
  <c r="BO60" i="34" s="1"/>
  <c r="BN91" i="34"/>
  <c r="BM91" i="34"/>
  <c r="BL91" i="34"/>
  <c r="BI91" i="34"/>
  <c r="BG91" i="34"/>
  <c r="BE91" i="34"/>
  <c r="BC91" i="34" s="1"/>
  <c r="AZ91" i="34"/>
  <c r="AY91" i="34"/>
  <c r="AT91" i="34"/>
  <c r="AQ91" i="34"/>
  <c r="AO91" i="34"/>
  <c r="AM91" i="34"/>
  <c r="AM28" i="34" s="1"/>
  <c r="AL91" i="34"/>
  <c r="AK91" i="34"/>
  <c r="AJ91" i="34"/>
  <c r="AH91" i="34"/>
  <c r="AG91" i="34"/>
  <c r="AE91" i="34"/>
  <c r="AC91" i="34"/>
  <c r="S91" i="34" s="1"/>
  <c r="AB91" i="34"/>
  <c r="AA91" i="34"/>
  <c r="Y91" i="34"/>
  <c r="X91" i="34"/>
  <c r="W91" i="34"/>
  <c r="U91" i="34"/>
  <c r="L91" i="34"/>
  <c r="K91" i="34"/>
  <c r="J91" i="34"/>
  <c r="I91" i="34"/>
  <c r="H91" i="34"/>
  <c r="G91" i="34"/>
  <c r="F91" i="34"/>
  <c r="BJ90" i="34"/>
  <c r="BH90" i="34"/>
  <c r="BF90" i="34" s="1"/>
  <c r="BE90" i="34"/>
  <c r="BC90" i="34" s="1"/>
  <c r="AW90" i="34"/>
  <c r="AU90" i="34"/>
  <c r="AS90" i="34"/>
  <c r="AR90" i="34"/>
  <c r="AX90" i="34" s="1"/>
  <c r="AH90" i="34"/>
  <c r="AF90" i="34"/>
  <c r="AD90" i="34" s="1"/>
  <c r="AC90" i="34"/>
  <c r="AI90" i="34" s="1"/>
  <c r="N90" i="34" s="1"/>
  <c r="Z90" i="34"/>
  <c r="X90" i="34"/>
  <c r="V90" i="34" s="1"/>
  <c r="U90" i="34"/>
  <c r="AP90" i="34" s="1"/>
  <c r="S90" i="34"/>
  <c r="BJ89" i="34"/>
  <c r="BH89" i="34"/>
  <c r="BF89" i="34"/>
  <c r="BE89" i="34"/>
  <c r="BC89" i="34" s="1"/>
  <c r="AW89" i="34"/>
  <c r="AU89" i="34"/>
  <c r="AS89" i="34" s="1"/>
  <c r="AR89" i="34"/>
  <c r="AN89" i="34" s="1"/>
  <c r="AH89" i="34"/>
  <c r="AF89" i="34"/>
  <c r="AD89" i="34" s="1"/>
  <c r="AC89" i="34"/>
  <c r="AI89" i="34" s="1"/>
  <c r="N89" i="34" s="1"/>
  <c r="Z89" i="34"/>
  <c r="X89" i="34"/>
  <c r="V89" i="34" s="1"/>
  <c r="U89" i="34"/>
  <c r="AP89" i="34" s="1"/>
  <c r="S89" i="34"/>
  <c r="BJ88" i="34"/>
  <c r="BH88" i="34"/>
  <c r="BF88" i="34"/>
  <c r="BE88" i="34"/>
  <c r="BC88" i="34" s="1"/>
  <c r="AW88" i="34"/>
  <c r="AU88" i="34"/>
  <c r="AS88" i="34" s="1"/>
  <c r="AR88" i="34"/>
  <c r="AX88" i="34" s="1"/>
  <c r="AH88" i="34"/>
  <c r="AF88" i="34"/>
  <c r="AC88" i="34"/>
  <c r="AI88" i="34" s="1"/>
  <c r="N88" i="34" s="1"/>
  <c r="Z88" i="34"/>
  <c r="X88" i="34"/>
  <c r="U88" i="34"/>
  <c r="S88" i="34"/>
  <c r="BJ87" i="34"/>
  <c r="BH87" i="34"/>
  <c r="BE87" i="34"/>
  <c r="BC87" i="34" s="1"/>
  <c r="AW87" i="34"/>
  <c r="AT87" i="34"/>
  <c r="AU87" i="34" s="1"/>
  <c r="AH87" i="34"/>
  <c r="AF87" i="34"/>
  <c r="AD87" i="34" s="1"/>
  <c r="AC87" i="34"/>
  <c r="AI87" i="34" s="1"/>
  <c r="N87" i="34" s="1"/>
  <c r="Z87" i="34"/>
  <c r="X87" i="34"/>
  <c r="V87" i="34" s="1"/>
  <c r="U87" i="34"/>
  <c r="AP87" i="34" s="1"/>
  <c r="S87" i="34"/>
  <c r="BJ86" i="34"/>
  <c r="BH86" i="34"/>
  <c r="BF86" i="34" s="1"/>
  <c r="BE86" i="34"/>
  <c r="BC86" i="34"/>
  <c r="AW86" i="34"/>
  <c r="AT86" i="34"/>
  <c r="AU86" i="34" s="1"/>
  <c r="AR86" i="34"/>
  <c r="AX86" i="34" s="1"/>
  <c r="AN86" i="34"/>
  <c r="AH86" i="34"/>
  <c r="AF86" i="34"/>
  <c r="AC86" i="34"/>
  <c r="AI86" i="34" s="1"/>
  <c r="N86" i="34" s="1"/>
  <c r="Z86" i="34"/>
  <c r="X86" i="34"/>
  <c r="U86" i="34"/>
  <c r="S86" i="34"/>
  <c r="BJ85" i="34"/>
  <c r="BH85" i="34"/>
  <c r="BF85" i="34" s="1"/>
  <c r="BE85" i="34"/>
  <c r="BC85" i="34"/>
  <c r="AX85" i="34"/>
  <c r="AW85" i="34"/>
  <c r="AU85" i="34"/>
  <c r="AS85" i="34" s="1"/>
  <c r="AR85" i="34"/>
  <c r="AN85" i="34" s="1"/>
  <c r="AH85" i="34"/>
  <c r="AF85" i="34"/>
  <c r="AD85" i="34"/>
  <c r="AC85" i="34"/>
  <c r="AI85" i="34" s="1"/>
  <c r="Z85" i="34"/>
  <c r="X85" i="34"/>
  <c r="V85" i="34"/>
  <c r="U85" i="34"/>
  <c r="AP85" i="34" s="1"/>
  <c r="BJ84" i="34"/>
  <c r="BH84" i="34"/>
  <c r="BF84" i="34" s="1"/>
  <c r="BE84" i="34"/>
  <c r="BC84" i="34" s="1"/>
  <c r="AW84" i="34"/>
  <c r="AU84" i="34"/>
  <c r="AS84" i="34" s="1"/>
  <c r="AR84" i="34"/>
  <c r="AH84" i="34"/>
  <c r="AF84" i="34"/>
  <c r="AD84" i="34"/>
  <c r="AC84" i="34"/>
  <c r="AI84" i="34" s="1"/>
  <c r="N84" i="34" s="1"/>
  <c r="Z84" i="34"/>
  <c r="X84" i="34"/>
  <c r="V84" i="34"/>
  <c r="U84" i="34"/>
  <c r="AP84" i="34" s="1"/>
  <c r="BJ83" i="34"/>
  <c r="BH83" i="34"/>
  <c r="BF83" i="34" s="1"/>
  <c r="BE83" i="34"/>
  <c r="BC83" i="34" s="1"/>
  <c r="AW83" i="34"/>
  <c r="AU83" i="34"/>
  <c r="AS83" i="34"/>
  <c r="AR83" i="34"/>
  <c r="AX83" i="34" s="1"/>
  <c r="AH83" i="34"/>
  <c r="AF83" i="34"/>
  <c r="AD83" i="34" s="1"/>
  <c r="AC83" i="34"/>
  <c r="S83" i="34" s="1"/>
  <c r="Z83" i="34"/>
  <c r="X83" i="34"/>
  <c r="V83" i="34" s="1"/>
  <c r="U83" i="34"/>
  <c r="AP83" i="34" s="1"/>
  <c r="BJ82" i="34"/>
  <c r="BH82" i="34"/>
  <c r="BE82" i="34"/>
  <c r="BC82" i="34" s="1"/>
  <c r="AW82" i="34"/>
  <c r="AU82" i="34"/>
  <c r="AR82" i="34"/>
  <c r="AX82" i="34" s="1"/>
  <c r="AN82" i="34"/>
  <c r="AH82" i="34"/>
  <c r="AF82" i="34"/>
  <c r="AC82" i="34"/>
  <c r="AI82" i="34" s="1"/>
  <c r="Z82" i="34"/>
  <c r="X82" i="34"/>
  <c r="U82" i="34"/>
  <c r="S82" i="34"/>
  <c r="BK81" i="34"/>
  <c r="BJ81" i="34"/>
  <c r="BH81" i="34"/>
  <c r="BE81" i="34"/>
  <c r="BC81" i="34" s="1"/>
  <c r="AW81" i="34"/>
  <c r="AU81" i="34"/>
  <c r="AS81" i="34" s="1"/>
  <c r="AR81" i="34"/>
  <c r="AX81" i="34" s="1"/>
  <c r="AN81" i="34"/>
  <c r="AH81" i="34"/>
  <c r="AF81" i="34"/>
  <c r="AC81" i="34"/>
  <c r="S81" i="34" s="1"/>
  <c r="Z81" i="34"/>
  <c r="X81" i="34"/>
  <c r="U81" i="34"/>
  <c r="BJ80" i="34"/>
  <c r="BH80" i="34"/>
  <c r="BF80" i="34" s="1"/>
  <c r="BE80" i="34"/>
  <c r="BC80" i="34"/>
  <c r="AW80" i="34"/>
  <c r="AU80" i="34"/>
  <c r="AR80" i="34"/>
  <c r="AX80" i="34" s="1"/>
  <c r="AN80" i="34"/>
  <c r="AH80" i="34"/>
  <c r="AF80" i="34"/>
  <c r="AC80" i="34"/>
  <c r="AI80" i="34" s="1"/>
  <c r="Z80" i="34"/>
  <c r="X80" i="34"/>
  <c r="U80" i="34"/>
  <c r="S80" i="34"/>
  <c r="BJ79" i="34"/>
  <c r="BH79" i="34"/>
  <c r="BE79" i="34"/>
  <c r="BC79" i="34" s="1"/>
  <c r="AW79" i="34"/>
  <c r="AU79" i="34"/>
  <c r="AS79" i="34" s="1"/>
  <c r="AR79" i="34"/>
  <c r="AX79" i="34" s="1"/>
  <c r="AN79" i="34"/>
  <c r="AH79" i="34"/>
  <c r="AF79" i="34"/>
  <c r="AC79" i="34"/>
  <c r="AI79" i="34" s="1"/>
  <c r="N79" i="34" s="1"/>
  <c r="Z79" i="34"/>
  <c r="X79" i="34"/>
  <c r="V79" i="34" s="1"/>
  <c r="U79" i="34"/>
  <c r="AP79" i="34" s="1"/>
  <c r="S79" i="34"/>
  <c r="BJ78" i="34"/>
  <c r="BH78" i="34"/>
  <c r="BF78" i="34" s="1"/>
  <c r="BE78" i="34"/>
  <c r="BC78" i="34" s="1"/>
  <c r="AX78" i="34"/>
  <c r="AW78" i="34"/>
  <c r="AU78" i="34"/>
  <c r="AS78" i="34" s="1"/>
  <c r="AR78" i="34"/>
  <c r="AN78" i="34" s="1"/>
  <c r="AH78" i="34"/>
  <c r="AF78" i="34"/>
  <c r="AD78" i="34" s="1"/>
  <c r="AC78" i="34"/>
  <c r="AI78" i="34" s="1"/>
  <c r="Z78" i="34"/>
  <c r="X78" i="34"/>
  <c r="V78" i="34" s="1"/>
  <c r="U78" i="34"/>
  <c r="AP78" i="34" s="1"/>
  <c r="S78" i="34"/>
  <c r="BJ77" i="34"/>
  <c r="BH77" i="34"/>
  <c r="BF77" i="34"/>
  <c r="BE77" i="34"/>
  <c r="BK77" i="34" s="1"/>
  <c r="AW77" i="34"/>
  <c r="AU77" i="34"/>
  <c r="AS77" i="34" s="1"/>
  <c r="AR77" i="34"/>
  <c r="AX77" i="34" s="1"/>
  <c r="AN77" i="34"/>
  <c r="AH77" i="34"/>
  <c r="AH61" i="34" s="1"/>
  <c r="AH60" i="34" s="1"/>
  <c r="AF77" i="34"/>
  <c r="AC77" i="34"/>
  <c r="S77" i="34" s="1"/>
  <c r="Z77" i="34"/>
  <c r="X77" i="34"/>
  <c r="U77" i="34"/>
  <c r="AP77" i="34" s="1"/>
  <c r="BK76" i="34"/>
  <c r="BJ76" i="34"/>
  <c r="BH76" i="34"/>
  <c r="BF76" i="34" s="1"/>
  <c r="BE76" i="34"/>
  <c r="BC76" i="34"/>
  <c r="AX76" i="34"/>
  <c r="AW76" i="34"/>
  <c r="AU76" i="34"/>
  <c r="AS76" i="34"/>
  <c r="AR76" i="34"/>
  <c r="AN76" i="34" s="1"/>
  <c r="AH76" i="34"/>
  <c r="AF76" i="34"/>
  <c r="AD76" i="34" s="1"/>
  <c r="AC76" i="34"/>
  <c r="S76" i="34" s="1"/>
  <c r="Z76" i="34"/>
  <c r="X76" i="34"/>
  <c r="U76" i="34"/>
  <c r="BJ75" i="34"/>
  <c r="BH75" i="34"/>
  <c r="BE75" i="34"/>
  <c r="BC75" i="34" s="1"/>
  <c r="AV75" i="34"/>
  <c r="AW75" i="34" s="1"/>
  <c r="AU75" i="34"/>
  <c r="AH75" i="34"/>
  <c r="AF75" i="34"/>
  <c r="AC75" i="34"/>
  <c r="S75" i="34" s="1"/>
  <c r="Z75" i="34"/>
  <c r="X75" i="34"/>
  <c r="U75" i="34"/>
  <c r="BJ74" i="34"/>
  <c r="BH74" i="34"/>
  <c r="BE74" i="34"/>
  <c r="BC74" i="34" s="1"/>
  <c r="AX74" i="34"/>
  <c r="AW74" i="34"/>
  <c r="AU74" i="34"/>
  <c r="AR74" i="34"/>
  <c r="AP74" i="34"/>
  <c r="AN74" i="34"/>
  <c r="AI74" i="34"/>
  <c r="N74" i="34" s="1"/>
  <c r="AH74" i="34"/>
  <c r="AF74" i="34"/>
  <c r="AD74" i="34"/>
  <c r="Z74" i="34"/>
  <c r="X74" i="34"/>
  <c r="S74" i="34"/>
  <c r="BJ73" i="34"/>
  <c r="BH73" i="34"/>
  <c r="BE73" i="34"/>
  <c r="BC73" i="34" s="1"/>
  <c r="AV73" i="34"/>
  <c r="AU73" i="34"/>
  <c r="AH73" i="34"/>
  <c r="AF73" i="34"/>
  <c r="AC73" i="34"/>
  <c r="AI73" i="34" s="1"/>
  <c r="N73" i="34" s="1"/>
  <c r="Z73" i="34"/>
  <c r="X73" i="34"/>
  <c r="V73" i="34" s="1"/>
  <c r="U73" i="34"/>
  <c r="AP73" i="34" s="1"/>
  <c r="BK72" i="34"/>
  <c r="BJ72" i="34"/>
  <c r="BH72" i="34"/>
  <c r="BF72" i="34" s="1"/>
  <c r="BE72" i="34"/>
  <c r="BC72" i="34" s="1"/>
  <c r="AX72" i="34"/>
  <c r="AW72" i="34"/>
  <c r="AU72" i="34"/>
  <c r="AS72" i="34" s="1"/>
  <c r="AR72" i="34"/>
  <c r="AN72" i="34" s="1"/>
  <c r="AH72" i="34"/>
  <c r="AF72" i="34"/>
  <c r="AD72" i="34" s="1"/>
  <c r="AC72" i="34"/>
  <c r="AI72" i="34" s="1"/>
  <c r="N72" i="34" s="1"/>
  <c r="Z72" i="34"/>
  <c r="X72" i="34"/>
  <c r="V72" i="34" s="1"/>
  <c r="U72" i="34"/>
  <c r="AP72" i="34" s="1"/>
  <c r="BJ71" i="34"/>
  <c r="BH71" i="34"/>
  <c r="BF71" i="34"/>
  <c r="BE71" i="34"/>
  <c r="BC71" i="34" s="1"/>
  <c r="AW71" i="34"/>
  <c r="AU71" i="34"/>
  <c r="AS71" i="34" s="1"/>
  <c r="AR71" i="34"/>
  <c r="AN71" i="34" s="1"/>
  <c r="AH71" i="34"/>
  <c r="AF71" i="34"/>
  <c r="AD71" i="34" s="1"/>
  <c r="AC71" i="34"/>
  <c r="AI71" i="34" s="1"/>
  <c r="N71" i="34" s="1"/>
  <c r="Z71" i="34"/>
  <c r="X71" i="34"/>
  <c r="U71" i="34"/>
  <c r="BJ70" i="34"/>
  <c r="BH70" i="34"/>
  <c r="BF70" i="34" s="1"/>
  <c r="BE70" i="34"/>
  <c r="BC70" i="34"/>
  <c r="AW70" i="34"/>
  <c r="AT70" i="34"/>
  <c r="AU70" i="34" s="1"/>
  <c r="AS70" i="34" s="1"/>
  <c r="AH70" i="34"/>
  <c r="AF70" i="34"/>
  <c r="AD70" i="34" s="1"/>
  <c r="AC70" i="34"/>
  <c r="S70" i="34" s="1"/>
  <c r="Z70" i="34"/>
  <c r="X70" i="34"/>
  <c r="U70" i="34"/>
  <c r="AP70" i="34" s="1"/>
  <c r="BJ69" i="34"/>
  <c r="BH69" i="34"/>
  <c r="BE69" i="34"/>
  <c r="BC69" i="34" s="1"/>
  <c r="AV69" i="34"/>
  <c r="AW69" i="34" s="1"/>
  <c r="AU69" i="34"/>
  <c r="AH69" i="34"/>
  <c r="AF69" i="34"/>
  <c r="AC69" i="34"/>
  <c r="S69" i="34" s="1"/>
  <c r="Y69" i="34"/>
  <c r="Z69" i="34" s="1"/>
  <c r="X69" i="34"/>
  <c r="AF68" i="34"/>
  <c r="AD68" i="34" s="1"/>
  <c r="AC68" i="34"/>
  <c r="AI68" i="34" s="1"/>
  <c r="AF67" i="34"/>
  <c r="AD67" i="34" s="1"/>
  <c r="AC67" i="34"/>
  <c r="AI67" i="34" s="1"/>
  <c r="AF66" i="34"/>
  <c r="AD66" i="34" s="1"/>
  <c r="AC66" i="34"/>
  <c r="AI66" i="34" s="1"/>
  <c r="BJ65" i="34"/>
  <c r="BH65" i="34"/>
  <c r="BF65" i="34"/>
  <c r="BE65" i="34"/>
  <c r="BC65" i="34" s="1"/>
  <c r="AW65" i="34"/>
  <c r="AT65" i="34"/>
  <c r="AU65" i="34" s="1"/>
  <c r="AR65" i="34"/>
  <c r="AH65" i="34"/>
  <c r="AE65" i="34"/>
  <c r="AF65" i="34" s="1"/>
  <c r="AC65" i="34"/>
  <c r="AI65" i="34" s="1"/>
  <c r="N65" i="34" s="1"/>
  <c r="Z65" i="34"/>
  <c r="X65" i="34"/>
  <c r="U65" i="34"/>
  <c r="I65" i="34"/>
  <c r="BJ64" i="34"/>
  <c r="BH64" i="34"/>
  <c r="BE64" i="34"/>
  <c r="BC64" i="34" s="1"/>
  <c r="AW64" i="34"/>
  <c r="AU64" i="34"/>
  <c r="AR64" i="34"/>
  <c r="AX64" i="34" s="1"/>
  <c r="AN64" i="34"/>
  <c r="AH64" i="34"/>
  <c r="AF64" i="34"/>
  <c r="AC64" i="34"/>
  <c r="S64" i="34" s="1"/>
  <c r="Z64" i="34"/>
  <c r="X64" i="34"/>
  <c r="U64" i="34"/>
  <c r="I64" i="34"/>
  <c r="BJ63" i="34"/>
  <c r="BH63" i="34"/>
  <c r="BE63" i="34"/>
  <c r="BC63" i="34" s="1"/>
  <c r="AW63" i="34"/>
  <c r="AS63" i="34" s="1"/>
  <c r="AT63" i="34"/>
  <c r="AH63" i="34"/>
  <c r="AF63" i="34"/>
  <c r="AC63" i="34"/>
  <c r="S63" i="34" s="1"/>
  <c r="Z63" i="34"/>
  <c r="X63" i="34"/>
  <c r="V63" i="34" s="1"/>
  <c r="U63" i="34"/>
  <c r="AP63" i="34" s="1"/>
  <c r="I63" i="34"/>
  <c r="BJ62" i="34"/>
  <c r="BJ61" i="34" s="1"/>
  <c r="BH62" i="34"/>
  <c r="BE62" i="34"/>
  <c r="BC62" i="34" s="1"/>
  <c r="AW62" i="34"/>
  <c r="AU62" i="34"/>
  <c r="AS62" i="34" s="1"/>
  <c r="AR62" i="34"/>
  <c r="AX62" i="34" s="1"/>
  <c r="AH62" i="34"/>
  <c r="AF62" i="34"/>
  <c r="AE62" i="34"/>
  <c r="AC62" i="34" s="1"/>
  <c r="Z62" i="34"/>
  <c r="X62" i="34"/>
  <c r="U62" i="34"/>
  <c r="I62" i="34"/>
  <c r="I61" i="34" s="1"/>
  <c r="I60" i="34" s="1"/>
  <c r="BT61" i="34"/>
  <c r="BT60" i="34" s="1"/>
  <c r="BS61" i="34"/>
  <c r="BR61" i="34"/>
  <c r="BQ61" i="34"/>
  <c r="BQ60" i="34" s="1"/>
  <c r="BP61" i="34"/>
  <c r="BP60" i="34" s="1"/>
  <c r="BO61" i="34"/>
  <c r="BN61" i="34"/>
  <c r="BM61" i="34"/>
  <c r="BM60" i="34" s="1"/>
  <c r="BL61" i="34"/>
  <c r="BL60" i="34" s="1"/>
  <c r="BI61" i="34"/>
  <c r="BG61" i="34"/>
  <c r="BG60" i="34" s="1"/>
  <c r="AZ61" i="34"/>
  <c r="AY61" i="34"/>
  <c r="AY60" i="34" s="1"/>
  <c r="AQ61" i="34"/>
  <c r="AO61" i="34"/>
  <c r="AO60" i="34" s="1"/>
  <c r="AM61" i="34"/>
  <c r="AL61" i="34"/>
  <c r="AK61" i="34"/>
  <c r="AJ61" i="34"/>
  <c r="AJ60" i="34" s="1"/>
  <c r="AG61" i="34"/>
  <c r="AB61" i="34"/>
  <c r="AB60" i="34" s="1"/>
  <c r="AA61" i="34"/>
  <c r="W61" i="34"/>
  <c r="W60" i="34" s="1"/>
  <c r="T61" i="34"/>
  <c r="H61" i="34"/>
  <c r="H60" i="34" s="1"/>
  <c r="G61" i="34"/>
  <c r="G60" i="34" s="1"/>
  <c r="F61" i="34"/>
  <c r="BR60" i="34"/>
  <c r="BN60" i="34"/>
  <c r="BI60" i="34"/>
  <c r="BI26" i="34" s="1"/>
  <c r="AZ60" i="34"/>
  <c r="AQ60" i="34"/>
  <c r="AL60" i="34"/>
  <c r="AK60" i="34"/>
  <c r="AG60" i="34"/>
  <c r="AA60" i="34"/>
  <c r="T60" i="34"/>
  <c r="F60" i="34"/>
  <c r="BJ59" i="34"/>
  <c r="BJ58" i="34" s="1"/>
  <c r="BH59" i="34"/>
  <c r="BE59" i="34"/>
  <c r="BC59" i="34"/>
  <c r="AV59" i="34"/>
  <c r="AW59" i="34" s="1"/>
  <c r="AU59" i="34"/>
  <c r="AR59" i="34"/>
  <c r="AX59" i="34" s="1"/>
  <c r="AX58" i="34" s="1"/>
  <c r="AN59" i="34"/>
  <c r="AN58" i="34" s="1"/>
  <c r="AH59" i="34"/>
  <c r="AH58" i="34" s="1"/>
  <c r="AF59" i="34"/>
  <c r="AC59" i="34"/>
  <c r="AI59" i="34" s="1"/>
  <c r="Z59" i="34"/>
  <c r="Z58" i="34" s="1"/>
  <c r="X59" i="34"/>
  <c r="U59" i="34"/>
  <c r="S59" i="34"/>
  <c r="BM58" i="34"/>
  <c r="BL58" i="34"/>
  <c r="BK58" i="34"/>
  <c r="BI58" i="34"/>
  <c r="BI40" i="34" s="1"/>
  <c r="BH58" i="34"/>
  <c r="BG58" i="34"/>
  <c r="BE58" i="34"/>
  <c r="BC58" i="34" s="1"/>
  <c r="AV58" i="34"/>
  <c r="AZ58" i="34" s="1"/>
  <c r="AU58" i="34"/>
  <c r="AY58" i="34" s="1"/>
  <c r="AT58" i="34"/>
  <c r="AR58" i="34" s="1"/>
  <c r="AO58" i="34"/>
  <c r="AM58" i="34"/>
  <c r="AL58" i="34"/>
  <c r="AK58" i="34"/>
  <c r="AK28" i="34" s="1"/>
  <c r="AJ58" i="34"/>
  <c r="AG58" i="34"/>
  <c r="AF58" i="34"/>
  <c r="AE58" i="34"/>
  <c r="AC58" i="34"/>
  <c r="AB58" i="34"/>
  <c r="AB40" i="34" s="1"/>
  <c r="AA58" i="34"/>
  <c r="Y58" i="34"/>
  <c r="X58" i="34"/>
  <c r="W58" i="34"/>
  <c r="U58" i="34"/>
  <c r="S58" i="34"/>
  <c r="O58" i="34"/>
  <c r="M58" i="34"/>
  <c r="L58" i="34"/>
  <c r="K58" i="34"/>
  <c r="J58" i="34"/>
  <c r="J28" i="34" s="1"/>
  <c r="I58" i="34"/>
  <c r="H58" i="34"/>
  <c r="G58" i="34"/>
  <c r="F58" i="34"/>
  <c r="F28" i="34" s="1"/>
  <c r="BJ57" i="34"/>
  <c r="BH57" i="34"/>
  <c r="BE57" i="34"/>
  <c r="BC57" i="34" s="1"/>
  <c r="AV57" i="34"/>
  <c r="AW57" i="34" s="1"/>
  <c r="AS57" i="34" s="1"/>
  <c r="AU57" i="34"/>
  <c r="AH57" i="34"/>
  <c r="AF57" i="34"/>
  <c r="AC57" i="34"/>
  <c r="AI57" i="34" s="1"/>
  <c r="N57" i="34" s="1"/>
  <c r="Z57" i="34"/>
  <c r="X57" i="34"/>
  <c r="U57" i="34"/>
  <c r="S57" i="34"/>
  <c r="BJ56" i="34"/>
  <c r="BH56" i="34"/>
  <c r="BE56" i="34"/>
  <c r="BC56" i="34" s="1"/>
  <c r="AV56" i="34"/>
  <c r="AW56" i="34" s="1"/>
  <c r="AS56" i="34" s="1"/>
  <c r="AU56" i="34"/>
  <c r="AH56" i="34"/>
  <c r="AF56" i="34"/>
  <c r="AC56" i="34"/>
  <c r="S56" i="34" s="1"/>
  <c r="Z56" i="34"/>
  <c r="X56" i="34"/>
  <c r="U56" i="34"/>
  <c r="BJ55" i="34"/>
  <c r="BH55" i="34"/>
  <c r="BE55" i="34"/>
  <c r="BC55" i="34" s="1"/>
  <c r="AX55" i="34"/>
  <c r="AW55" i="34"/>
  <c r="AU55" i="34"/>
  <c r="AR55" i="34"/>
  <c r="AN55" i="34" s="1"/>
  <c r="AH55" i="34"/>
  <c r="AF55" i="34"/>
  <c r="AD55" i="34" s="1"/>
  <c r="AC55" i="34"/>
  <c r="AI55" i="34" s="1"/>
  <c r="N55" i="34" s="1"/>
  <c r="Z55" i="34"/>
  <c r="X55" i="34"/>
  <c r="V55" i="34" s="1"/>
  <c r="U55" i="34"/>
  <c r="AP55" i="34" s="1"/>
  <c r="S55" i="34"/>
  <c r="BK54" i="34"/>
  <c r="BJ54" i="34"/>
  <c r="BH54" i="34"/>
  <c r="BE54" i="34"/>
  <c r="BC54" i="34" s="1"/>
  <c r="AX54" i="34"/>
  <c r="AW54" i="34"/>
  <c r="AU54" i="34"/>
  <c r="AR54" i="34"/>
  <c r="AN54" i="34"/>
  <c r="AH54" i="34"/>
  <c r="AF54" i="34"/>
  <c r="AC54" i="34"/>
  <c r="AI54" i="34" s="1"/>
  <c r="N54" i="34" s="1"/>
  <c r="Z54" i="34"/>
  <c r="X54" i="34"/>
  <c r="V54" i="34" s="1"/>
  <c r="U54" i="34"/>
  <c r="AP54" i="34" s="1"/>
  <c r="S54" i="34"/>
  <c r="BJ53" i="34"/>
  <c r="BH53" i="34"/>
  <c r="BF53" i="34" s="1"/>
  <c r="BE53" i="34"/>
  <c r="BC53" i="34"/>
  <c r="AW53" i="34"/>
  <c r="AV53" i="34"/>
  <c r="AX53" i="34" s="1"/>
  <c r="AU53" i="34"/>
  <c r="AH53" i="34"/>
  <c r="AF53" i="34"/>
  <c r="AD53" i="34" s="1"/>
  <c r="AC53" i="34"/>
  <c r="AI53" i="34" s="1"/>
  <c r="N53" i="34" s="1"/>
  <c r="Z53" i="34"/>
  <c r="X53" i="34"/>
  <c r="U53" i="34"/>
  <c r="AP53" i="34" s="1"/>
  <c r="S53" i="34"/>
  <c r="BJ52" i="34"/>
  <c r="BF52" i="34" s="1"/>
  <c r="BH52" i="34"/>
  <c r="BE52" i="34"/>
  <c r="BC52" i="34" s="1"/>
  <c r="AV52" i="34"/>
  <c r="AX52" i="34" s="1"/>
  <c r="AU52" i="34"/>
  <c r="AR52" i="34"/>
  <c r="AN52" i="34" s="1"/>
  <c r="AH52" i="34"/>
  <c r="AF52" i="34"/>
  <c r="AD52" i="34" s="1"/>
  <c r="AC52" i="34"/>
  <c r="AI52" i="34" s="1"/>
  <c r="N52" i="34" s="1"/>
  <c r="Z52" i="34"/>
  <c r="X52" i="34"/>
  <c r="V52" i="34" s="1"/>
  <c r="U52" i="34"/>
  <c r="AP52" i="34" s="1"/>
  <c r="S52" i="34"/>
  <c r="BJ51" i="34"/>
  <c r="BH51" i="34"/>
  <c r="BF51" i="34"/>
  <c r="BE51" i="34"/>
  <c r="BC51" i="34" s="1"/>
  <c r="AV51" i="34"/>
  <c r="AU51" i="34"/>
  <c r="AH51" i="34"/>
  <c r="AF51" i="34"/>
  <c r="AC51" i="34"/>
  <c r="AI51" i="34" s="1"/>
  <c r="N51" i="34" s="1"/>
  <c r="Z51" i="34"/>
  <c r="X51" i="34"/>
  <c r="V51" i="34" s="1"/>
  <c r="U51" i="34"/>
  <c r="AP51" i="34" s="1"/>
  <c r="S51" i="34"/>
  <c r="BJ50" i="34"/>
  <c r="BH50" i="34"/>
  <c r="BF50" i="34" s="1"/>
  <c r="BE50" i="34"/>
  <c r="BC50" i="34"/>
  <c r="AW50" i="34"/>
  <c r="AV50" i="34"/>
  <c r="AX50" i="34" s="1"/>
  <c r="AU50" i="34"/>
  <c r="AH50" i="34"/>
  <c r="AF50" i="34"/>
  <c r="AD50" i="34" s="1"/>
  <c r="AC50" i="34"/>
  <c r="AI50" i="34" s="1"/>
  <c r="N50" i="34" s="1"/>
  <c r="Z50" i="34"/>
  <c r="Z41" i="34" s="1"/>
  <c r="Z40" i="34" s="1"/>
  <c r="X50" i="34"/>
  <c r="U50" i="34"/>
  <c r="S50" i="34"/>
  <c r="BJ49" i="34"/>
  <c r="BH49" i="34"/>
  <c r="BE49" i="34"/>
  <c r="BC49" i="34"/>
  <c r="AW49" i="34"/>
  <c r="AV49" i="34"/>
  <c r="AX49" i="34" s="1"/>
  <c r="AU49" i="34"/>
  <c r="AR49" i="34"/>
  <c r="AN49" i="34" s="1"/>
  <c r="AH49" i="34"/>
  <c r="AF49" i="34"/>
  <c r="AD49" i="34" s="1"/>
  <c r="AC49" i="34"/>
  <c r="AI49" i="34" s="1"/>
  <c r="N49" i="34" s="1"/>
  <c r="Z49" i="34"/>
  <c r="X49" i="34"/>
  <c r="U49" i="34"/>
  <c r="BJ48" i="34"/>
  <c r="BF48" i="34" s="1"/>
  <c r="BH48" i="34"/>
  <c r="BE48" i="34"/>
  <c r="BC48" i="34" s="1"/>
  <c r="AV48" i="34"/>
  <c r="AX48" i="34" s="1"/>
  <c r="AU48" i="34"/>
  <c r="AR48" i="34"/>
  <c r="AN48" i="34" s="1"/>
  <c r="AH48" i="34"/>
  <c r="AF48" i="34"/>
  <c r="AD48" i="34" s="1"/>
  <c r="AC48" i="34"/>
  <c r="AI48" i="34" s="1"/>
  <c r="N48" i="34" s="1"/>
  <c r="Z48" i="34"/>
  <c r="X48" i="34"/>
  <c r="U48" i="34"/>
  <c r="BJ47" i="34"/>
  <c r="BH47" i="34"/>
  <c r="BE47" i="34"/>
  <c r="BC47" i="34" s="1"/>
  <c r="AV47" i="34"/>
  <c r="AX47" i="34" s="1"/>
  <c r="AU47" i="34"/>
  <c r="AH47" i="34"/>
  <c r="AF47" i="34"/>
  <c r="AD47" i="34" s="1"/>
  <c r="AC47" i="34"/>
  <c r="AI47" i="34" s="1"/>
  <c r="N47" i="34" s="1"/>
  <c r="Z47" i="34"/>
  <c r="X47" i="34"/>
  <c r="U47" i="34"/>
  <c r="BJ46" i="34"/>
  <c r="BH46" i="34"/>
  <c r="BE46" i="34"/>
  <c r="BC46" i="34" s="1"/>
  <c r="AW46" i="34"/>
  <c r="AU46" i="34"/>
  <c r="AS46" i="34" s="1"/>
  <c r="AT46" i="34"/>
  <c r="AR46" i="34" s="1"/>
  <c r="AX46" i="34" s="1"/>
  <c r="AH46" i="34"/>
  <c r="AF46" i="34"/>
  <c r="AC46" i="34"/>
  <c r="AI46" i="34" s="1"/>
  <c r="N46" i="34" s="1"/>
  <c r="Z46" i="34"/>
  <c r="X46" i="34"/>
  <c r="U46" i="34"/>
  <c r="BJ45" i="34"/>
  <c r="BH45" i="34"/>
  <c r="BE45" i="34"/>
  <c r="BC45" i="34" s="1"/>
  <c r="AW45" i="34"/>
  <c r="AT45" i="34"/>
  <c r="AH45" i="34"/>
  <c r="AF45" i="34"/>
  <c r="AC45" i="34"/>
  <c r="AI45" i="34" s="1"/>
  <c r="N45" i="34" s="1"/>
  <c r="Z45" i="34"/>
  <c r="X45" i="34"/>
  <c r="U45" i="34"/>
  <c r="S45" i="34"/>
  <c r="BJ44" i="34"/>
  <c r="BH44" i="34"/>
  <c r="BE44" i="34"/>
  <c r="BC44" i="34" s="1"/>
  <c r="AW44" i="34"/>
  <c r="AS44" i="34" s="1"/>
  <c r="AU44" i="34"/>
  <c r="AT44" i="34"/>
  <c r="AR44" i="34"/>
  <c r="AX44" i="34" s="1"/>
  <c r="AH44" i="34"/>
  <c r="AE44" i="34"/>
  <c r="AF44" i="34" s="1"/>
  <c r="Z44" i="34"/>
  <c r="X44" i="34"/>
  <c r="V44" i="34" s="1"/>
  <c r="U44" i="34"/>
  <c r="I44" i="34"/>
  <c r="BJ43" i="34"/>
  <c r="BH43" i="34"/>
  <c r="BE43" i="34"/>
  <c r="BC43" i="34" s="1"/>
  <c r="AW43" i="34"/>
  <c r="AU43" i="34"/>
  <c r="AT43" i="34"/>
  <c r="AR43" i="34"/>
  <c r="AX43" i="34" s="1"/>
  <c r="AH43" i="34"/>
  <c r="AE43" i="34"/>
  <c r="AF43" i="34" s="1"/>
  <c r="AC43" i="34"/>
  <c r="AI43" i="34" s="1"/>
  <c r="N43" i="34" s="1"/>
  <c r="Z43" i="34"/>
  <c r="X43" i="34"/>
  <c r="V43" i="34" s="1"/>
  <c r="U43" i="34"/>
  <c r="I43" i="34"/>
  <c r="I41" i="34" s="1"/>
  <c r="I40" i="34" s="1"/>
  <c r="BJ42" i="34"/>
  <c r="BH42" i="34"/>
  <c r="BE42" i="34"/>
  <c r="BC42" i="34" s="1"/>
  <c r="AW42" i="34"/>
  <c r="AU42" i="34"/>
  <c r="AR42" i="34"/>
  <c r="AN42" i="34" s="1"/>
  <c r="AH42" i="34"/>
  <c r="AF42" i="34"/>
  <c r="AC42" i="34"/>
  <c r="AI42" i="34" s="1"/>
  <c r="Z42" i="34"/>
  <c r="X42" i="34"/>
  <c r="U42" i="34"/>
  <c r="U41" i="34" s="1"/>
  <c r="U40" i="34" s="1"/>
  <c r="I42" i="34"/>
  <c r="BT41" i="34"/>
  <c r="BS41" i="34"/>
  <c r="BR41" i="34"/>
  <c r="BR40" i="34" s="1"/>
  <c r="BQ41" i="34"/>
  <c r="BP41" i="34"/>
  <c r="BO41" i="34"/>
  <c r="BN41" i="34"/>
  <c r="BN40" i="34" s="1"/>
  <c r="BM41" i="34"/>
  <c r="BL41" i="34"/>
  <c r="BK41" i="34"/>
  <c r="BJ41" i="34"/>
  <c r="BI41" i="34"/>
  <c r="BG41" i="34"/>
  <c r="BE41" i="34"/>
  <c r="BC41" i="34" s="1"/>
  <c r="AZ41" i="34"/>
  <c r="AY41" i="34"/>
  <c r="AQ41" i="34"/>
  <c r="AO41" i="34"/>
  <c r="AM41" i="34"/>
  <c r="AL41" i="34"/>
  <c r="AK41" i="34"/>
  <c r="AK27" i="34" s="1"/>
  <c r="AJ41" i="34"/>
  <c r="AG41" i="34"/>
  <c r="AB41" i="34"/>
  <c r="AA41" i="34"/>
  <c r="Y41" i="34"/>
  <c r="Y40" i="34" s="1"/>
  <c r="W41" i="34"/>
  <c r="T41" i="34"/>
  <c r="T40" i="34" s="1"/>
  <c r="M41" i="34"/>
  <c r="H41" i="34"/>
  <c r="H40" i="34" s="1"/>
  <c r="G41" i="34"/>
  <c r="F41" i="34"/>
  <c r="BT40" i="34"/>
  <c r="BS40" i="34"/>
  <c r="BQ40" i="34"/>
  <c r="BP40" i="34"/>
  <c r="BO40" i="34"/>
  <c r="BL40" i="34"/>
  <c r="BK40" i="34"/>
  <c r="BJ40" i="34"/>
  <c r="BG40" i="34"/>
  <c r="AQ40" i="34"/>
  <c r="AM40" i="34"/>
  <c r="AL40" i="34"/>
  <c r="AG40" i="34"/>
  <c r="AA40" i="34"/>
  <c r="W40" i="34"/>
  <c r="M40" i="34"/>
  <c r="F40" i="34"/>
  <c r="BJ39" i="34"/>
  <c r="BH39" i="34"/>
  <c r="BE39" i="34"/>
  <c r="BC39" i="34" s="1"/>
  <c r="AW39" i="34"/>
  <c r="AT39" i="34"/>
  <c r="AH39" i="34"/>
  <c r="AF39" i="34"/>
  <c r="AD39" i="34" s="1"/>
  <c r="AC39" i="34"/>
  <c r="AI39" i="34" s="1"/>
  <c r="N39" i="34" s="1"/>
  <c r="Z39" i="34"/>
  <c r="X39" i="34"/>
  <c r="V39" i="34" s="1"/>
  <c r="U39" i="34"/>
  <c r="AP39" i="34" s="1"/>
  <c r="S39" i="34"/>
  <c r="BJ38" i="34"/>
  <c r="BH38" i="34"/>
  <c r="BE38" i="34"/>
  <c r="BC38" i="34" s="1"/>
  <c r="AW38" i="34"/>
  <c r="AU38" i="34"/>
  <c r="AS38" i="34" s="1"/>
  <c r="AT38" i="34"/>
  <c r="AH38" i="34"/>
  <c r="AF38" i="34"/>
  <c r="AC38" i="34"/>
  <c r="S38" i="34" s="1"/>
  <c r="Z38" i="34"/>
  <c r="X38" i="34"/>
  <c r="V38" i="34" s="1"/>
  <c r="U38" i="34"/>
  <c r="BJ37" i="34"/>
  <c r="BH37" i="34"/>
  <c r="BF37" i="34" s="1"/>
  <c r="BE37" i="34"/>
  <c r="BC37" i="34" s="1"/>
  <c r="AW37" i="34"/>
  <c r="AU37" i="34"/>
  <c r="AS37" i="34" s="1"/>
  <c r="AR37" i="34"/>
  <c r="AX37" i="34" s="1"/>
  <c r="AN37" i="34"/>
  <c r="AH37" i="34"/>
  <c r="AF37" i="34"/>
  <c r="AD37" i="34"/>
  <c r="AC37" i="34"/>
  <c r="Z37" i="34"/>
  <c r="X37" i="34"/>
  <c r="V37" i="34"/>
  <c r="U37" i="34"/>
  <c r="AP37" i="34" s="1"/>
  <c r="BJ36" i="34"/>
  <c r="BH36" i="34"/>
  <c r="BF36" i="34"/>
  <c r="BE36" i="34"/>
  <c r="BC36" i="34"/>
  <c r="AW36" i="34"/>
  <c r="AU36" i="34"/>
  <c r="AS36" i="34" s="1"/>
  <c r="AR36" i="34"/>
  <c r="AX36" i="34" s="1"/>
  <c r="AH36" i="34"/>
  <c r="AF36" i="34"/>
  <c r="AC36" i="34"/>
  <c r="S36" i="34" s="1"/>
  <c r="Z36" i="34"/>
  <c r="X36" i="34"/>
  <c r="V36" i="34" s="1"/>
  <c r="U36" i="34"/>
  <c r="I36" i="34"/>
  <c r="BJ35" i="34"/>
  <c r="BH35" i="34"/>
  <c r="BF35" i="34" s="1"/>
  <c r="BE35" i="34"/>
  <c r="BC35" i="34" s="1"/>
  <c r="AW35" i="34"/>
  <c r="AW30" i="34" s="1"/>
  <c r="AW29" i="34" s="1"/>
  <c r="AU35" i="34"/>
  <c r="AS35" i="34"/>
  <c r="AR35" i="34"/>
  <c r="AX35" i="34" s="1"/>
  <c r="AN35" i="34"/>
  <c r="AH35" i="34"/>
  <c r="AF35" i="34"/>
  <c r="AD35" i="34" s="1"/>
  <c r="AC35" i="34"/>
  <c r="S35" i="34" s="1"/>
  <c r="Z35" i="34"/>
  <c r="X35" i="34"/>
  <c r="U35" i="34"/>
  <c r="AP35" i="34" s="1"/>
  <c r="I35" i="34"/>
  <c r="BJ34" i="34"/>
  <c r="BJ30" i="34" s="1"/>
  <c r="BH34" i="34"/>
  <c r="BE34" i="34"/>
  <c r="BC34" i="34" s="1"/>
  <c r="AW34" i="34"/>
  <c r="AT34" i="34"/>
  <c r="AH34" i="34"/>
  <c r="AE34" i="34"/>
  <c r="AF34" i="34" s="1"/>
  <c r="Z34" i="34"/>
  <c r="X34" i="34"/>
  <c r="V34" i="34" s="1"/>
  <c r="U34" i="34"/>
  <c r="I34" i="34"/>
  <c r="BJ33" i="34"/>
  <c r="BH33" i="34"/>
  <c r="BF33" i="34" s="1"/>
  <c r="BE33" i="34"/>
  <c r="BC33" i="34" s="1"/>
  <c r="AW33" i="34"/>
  <c r="AU33" i="34"/>
  <c r="AS33" i="34"/>
  <c r="AR33" i="34"/>
  <c r="AX33" i="34" s="1"/>
  <c r="AH33" i="34"/>
  <c r="AF33" i="34"/>
  <c r="AD33" i="34" s="1"/>
  <c r="AC33" i="34"/>
  <c r="S33" i="34" s="1"/>
  <c r="Z33" i="34"/>
  <c r="X33" i="34"/>
  <c r="U33" i="34"/>
  <c r="AP33" i="34" s="1"/>
  <c r="I33" i="34"/>
  <c r="BJ32" i="34"/>
  <c r="BH32" i="34"/>
  <c r="BF32" i="34"/>
  <c r="BE32" i="34"/>
  <c r="BC32" i="34" s="1"/>
  <c r="AW32" i="34"/>
  <c r="AU32" i="34"/>
  <c r="AS32" i="34" s="1"/>
  <c r="AR32" i="34"/>
  <c r="AX32" i="34" s="1"/>
  <c r="AH32" i="34"/>
  <c r="AF32" i="34"/>
  <c r="AD32" i="34" s="1"/>
  <c r="AC32" i="34"/>
  <c r="AI32" i="34" s="1"/>
  <c r="N32" i="34" s="1"/>
  <c r="Z32" i="34"/>
  <c r="X32" i="34"/>
  <c r="U32" i="34"/>
  <c r="AP32" i="34" s="1"/>
  <c r="S32" i="34"/>
  <c r="I32" i="34"/>
  <c r="BJ31" i="34"/>
  <c r="BH31" i="34"/>
  <c r="BF31" i="34" s="1"/>
  <c r="BE31" i="34"/>
  <c r="BC31" i="34" s="1"/>
  <c r="AW31" i="34"/>
  <c r="AU31" i="34"/>
  <c r="AS31" i="34"/>
  <c r="AR31" i="34"/>
  <c r="AX31" i="34" s="1"/>
  <c r="AH31" i="34"/>
  <c r="AE31" i="34"/>
  <c r="AF31" i="34" s="1"/>
  <c r="Z31" i="34"/>
  <c r="X31" i="34"/>
  <c r="U31" i="34"/>
  <c r="I31" i="34"/>
  <c r="BM30" i="34"/>
  <c r="BL30" i="34"/>
  <c r="BL27" i="34" s="1"/>
  <c r="BK30" i="34"/>
  <c r="BK29" i="34" s="1"/>
  <c r="BI30" i="34"/>
  <c r="BH30" i="34"/>
  <c r="BG30" i="34"/>
  <c r="BG29" i="34" s="1"/>
  <c r="BD30" i="34"/>
  <c r="AZ30" i="34"/>
  <c r="AZ29" i="34" s="1"/>
  <c r="AY30" i="34"/>
  <c r="AV30" i="34"/>
  <c r="AT30" i="34"/>
  <c r="AT29" i="34" s="1"/>
  <c r="AQ30" i="34"/>
  <c r="AO30" i="34"/>
  <c r="AM30" i="34"/>
  <c r="AM29" i="34" s="1"/>
  <c r="AL30" i="34"/>
  <c r="AL29" i="34" s="1"/>
  <c r="AK30" i="34"/>
  <c r="AJ30" i="34"/>
  <c r="AH30" i="34"/>
  <c r="AG30" i="34"/>
  <c r="AG29" i="34" s="1"/>
  <c r="AG26" i="34" s="1"/>
  <c r="AB30" i="34"/>
  <c r="AB27" i="34" s="1"/>
  <c r="AA30" i="34"/>
  <c r="AA29" i="34" s="1"/>
  <c r="AA26" i="34" s="1"/>
  <c r="Z30" i="34"/>
  <c r="Y30" i="34"/>
  <c r="W30" i="34"/>
  <c r="W29" i="34" s="1"/>
  <c r="T30" i="34"/>
  <c r="M30" i="34"/>
  <c r="I30" i="34"/>
  <c r="I29" i="34" s="1"/>
  <c r="H30" i="34"/>
  <c r="H29" i="34" s="1"/>
  <c r="G30" i="34"/>
  <c r="F30" i="34"/>
  <c r="BM29" i="34"/>
  <c r="BI29" i="34"/>
  <c r="BH29" i="34"/>
  <c r="BD29" i="34"/>
  <c r="AV29" i="34"/>
  <c r="AQ29" i="34"/>
  <c r="AO29" i="34"/>
  <c r="AK29" i="34"/>
  <c r="AJ29" i="34"/>
  <c r="AH29" i="34"/>
  <c r="AB29" i="34"/>
  <c r="Z29" i="34"/>
  <c r="Y29" i="34"/>
  <c r="T29" i="34"/>
  <c r="M29" i="34"/>
  <c r="G29" i="34"/>
  <c r="F29" i="34"/>
  <c r="F26" i="34" s="1"/>
  <c r="BL28" i="34"/>
  <c r="BI28" i="34"/>
  <c r="BG28" i="34"/>
  <c r="BD28" i="34"/>
  <c r="BB28" i="34"/>
  <c r="BA28" i="34"/>
  <c r="AQ28" i="34"/>
  <c r="AO28" i="34"/>
  <c r="AJ28" i="34"/>
  <c r="AH28" i="34"/>
  <c r="AG28" i="34"/>
  <c r="AB28" i="34"/>
  <c r="AA28" i="34"/>
  <c r="Y28" i="34"/>
  <c r="W28" i="34"/>
  <c r="T28" i="34"/>
  <c r="R28" i="34"/>
  <c r="Q28" i="34"/>
  <c r="P28" i="34"/>
  <c r="O28" i="34"/>
  <c r="L28" i="34"/>
  <c r="K28" i="34"/>
  <c r="I28" i="34"/>
  <c r="H28" i="34"/>
  <c r="G28" i="34"/>
  <c r="BM27" i="34"/>
  <c r="BI27" i="34"/>
  <c r="BD27" i="34"/>
  <c r="BB27" i="34"/>
  <c r="BA27" i="34"/>
  <c r="AZ27" i="34"/>
  <c r="AQ27" i="34"/>
  <c r="AM27" i="34"/>
  <c r="AL27" i="34"/>
  <c r="AG27" i="34"/>
  <c r="T27" i="34"/>
  <c r="R27" i="34"/>
  <c r="Q27" i="34"/>
  <c r="P27" i="34"/>
  <c r="O27" i="34"/>
  <c r="L27" i="34"/>
  <c r="K27" i="34"/>
  <c r="J27" i="34"/>
  <c r="F27" i="34"/>
  <c r="BD26" i="34"/>
  <c r="AB26" i="34"/>
  <c r="T26" i="34"/>
  <c r="B26" i="34"/>
  <c r="AA321" i="32"/>
  <c r="AA320" i="32" s="1"/>
  <c r="AB321" i="32"/>
  <c r="AB320" i="32" s="1"/>
  <c r="AA272" i="32"/>
  <c r="AA271" i="32" s="1"/>
  <c r="AB272" i="32"/>
  <c r="AB271" i="32" s="1"/>
  <c r="AA266" i="32"/>
  <c r="AB266" i="32"/>
  <c r="AA247" i="32"/>
  <c r="AA246" i="32" s="1"/>
  <c r="AB247" i="32"/>
  <c r="AB246" i="32" s="1"/>
  <c r="AA233" i="32"/>
  <c r="AA232" i="32" s="1"/>
  <c r="AB233" i="32"/>
  <c r="AB232" i="32" s="1"/>
  <c r="AA210" i="32"/>
  <c r="AA209" i="32" s="1"/>
  <c r="AB210" i="32"/>
  <c r="AB209" i="32" s="1"/>
  <c r="AA207" i="32"/>
  <c r="AB207" i="32"/>
  <c r="AA186" i="32"/>
  <c r="AA185" i="32" s="1"/>
  <c r="AB186" i="32"/>
  <c r="AA183" i="32"/>
  <c r="AB183" i="32"/>
  <c r="AA176" i="32"/>
  <c r="AA175" i="32" s="1"/>
  <c r="AB176" i="32"/>
  <c r="AA149" i="32"/>
  <c r="AA148" i="32" s="1"/>
  <c r="AB149" i="32"/>
  <c r="AB148" i="32" s="1"/>
  <c r="AA135" i="32"/>
  <c r="AA134" i="32" s="1"/>
  <c r="AB135" i="32"/>
  <c r="AB134" i="32" s="1"/>
  <c r="AA132" i="32"/>
  <c r="AB132" i="32"/>
  <c r="AB112" i="32"/>
  <c r="AA112" i="32"/>
  <c r="AA97" i="32"/>
  <c r="AA96" i="32" s="1"/>
  <c r="AB97" i="32"/>
  <c r="AB96" i="32" s="1"/>
  <c r="AA91" i="32"/>
  <c r="AB91" i="32"/>
  <c r="AA61" i="32"/>
  <c r="AB61" i="32"/>
  <c r="AA58" i="32"/>
  <c r="AB58" i="32"/>
  <c r="AA41" i="32"/>
  <c r="AB41" i="32"/>
  <c r="AB30" i="32"/>
  <c r="AH27" i="34" l="1"/>
  <c r="AO26" i="34"/>
  <c r="AW91" i="34"/>
  <c r="BJ29" i="34"/>
  <c r="BJ27" i="34"/>
  <c r="AL26" i="34"/>
  <c r="AI37" i="34"/>
  <c r="N37" i="34" s="1"/>
  <c r="S37" i="34"/>
  <c r="AO40" i="34"/>
  <c r="AO27" i="34"/>
  <c r="AR63" i="34"/>
  <c r="AT61" i="34"/>
  <c r="AT60" i="34" s="1"/>
  <c r="AR95" i="34"/>
  <c r="AW95" i="34"/>
  <c r="AV91" i="34"/>
  <c r="AF98" i="34"/>
  <c r="AE97" i="34"/>
  <c r="AE96" i="34" s="1"/>
  <c r="AC98" i="34"/>
  <c r="BL29" i="34"/>
  <c r="BL26" i="34" s="1"/>
  <c r="U30" i="34"/>
  <c r="U29" i="34" s="1"/>
  <c r="AY29" i="34"/>
  <c r="AY27" i="34"/>
  <c r="AC31" i="34"/>
  <c r="AX39" i="34"/>
  <c r="AR39" i="34"/>
  <c r="AN39" i="34" s="1"/>
  <c r="G27" i="34"/>
  <c r="G40" i="34"/>
  <c r="G26" i="34" s="1"/>
  <c r="AN43" i="34"/>
  <c r="AU45" i="34"/>
  <c r="AT41" i="34"/>
  <c r="AR45" i="34"/>
  <c r="AX45" i="34" s="1"/>
  <c r="BF59" i="34"/>
  <c r="BF58" i="34" s="1"/>
  <c r="AM60" i="34"/>
  <c r="AM26" i="34" s="1"/>
  <c r="BF62" i="34"/>
  <c r="BH61" i="34"/>
  <c r="AD82" i="34"/>
  <c r="Z91" i="34"/>
  <c r="BF93" i="34"/>
  <c r="X97" i="34"/>
  <c r="X96" i="34" s="1"/>
  <c r="AS104" i="34"/>
  <c r="AL111" i="34"/>
  <c r="AS122" i="34"/>
  <c r="BF125" i="34"/>
  <c r="AW128" i="34"/>
  <c r="AS128" i="34" s="1"/>
  <c r="AV112" i="34"/>
  <c r="AV111" i="34" s="1"/>
  <c r="AI164" i="34"/>
  <c r="N164" i="34" s="1"/>
  <c r="AC149" i="34"/>
  <c r="AC148" i="34" s="1"/>
  <c r="AW182" i="34"/>
  <c r="AV176" i="34"/>
  <c r="AV175" i="34" s="1"/>
  <c r="AJ40" i="34"/>
  <c r="AJ26" i="34" s="1"/>
  <c r="AJ27" i="34"/>
  <c r="S48" i="34"/>
  <c r="AI62" i="34"/>
  <c r="S62" i="34"/>
  <c r="AC61" i="34"/>
  <c r="AC60" i="34" s="1"/>
  <c r="BF280" i="34"/>
  <c r="BH272" i="34"/>
  <c r="BH271" i="34" s="1"/>
  <c r="AW272" i="34"/>
  <c r="AW271" i="34" s="1"/>
  <c r="H27" i="34"/>
  <c r="X30" i="34"/>
  <c r="AK40" i="34"/>
  <c r="AK26" i="34" s="1"/>
  <c r="AH41" i="34"/>
  <c r="AH40" i="34" s="1"/>
  <c r="AH26" i="34" s="1"/>
  <c r="BF43" i="34"/>
  <c r="BH41" i="34"/>
  <c r="BH40" i="34" s="1"/>
  <c r="Z28" i="34"/>
  <c r="AX84" i="34"/>
  <c r="AN84" i="34"/>
  <c r="AX93" i="34"/>
  <c r="AN93" i="34"/>
  <c r="U97" i="34"/>
  <c r="U96" i="34" s="1"/>
  <c r="BF99" i="34"/>
  <c r="BH97" i="34"/>
  <c r="BH96" i="34" s="1"/>
  <c r="AW131" i="34"/>
  <c r="AS131" i="34" s="1"/>
  <c r="AR131" i="34"/>
  <c r="AX131" i="34" s="1"/>
  <c r="BF140" i="34"/>
  <c r="BH135" i="34"/>
  <c r="BH134" i="34" s="1"/>
  <c r="V151" i="34"/>
  <c r="X149" i="34"/>
  <c r="X148" i="34" s="1"/>
  <c r="BF156" i="34"/>
  <c r="BH149" i="34"/>
  <c r="BH148" i="34" s="1"/>
  <c r="AU208" i="34"/>
  <c r="AT207" i="34"/>
  <c r="AT28" i="34" s="1"/>
  <c r="AR208" i="34"/>
  <c r="AX231" i="34"/>
  <c r="AN231" i="34"/>
  <c r="BJ60" i="34"/>
  <c r="AR73" i="34"/>
  <c r="AW73" i="34"/>
  <c r="AW107" i="34"/>
  <c r="AS107" i="34" s="1"/>
  <c r="AR107" i="34"/>
  <c r="AX107" i="34" s="1"/>
  <c r="S108" i="34"/>
  <c r="AU114" i="34"/>
  <c r="AR114" i="34"/>
  <c r="AN114" i="34" s="1"/>
  <c r="AR160" i="34"/>
  <c r="AW160" i="34"/>
  <c r="AV149" i="34"/>
  <c r="AV148" i="34" s="1"/>
  <c r="AA40" i="32"/>
  <c r="AA27" i="34"/>
  <c r="AQ26" i="34"/>
  <c r="AU34" i="34"/>
  <c r="AR34" i="34"/>
  <c r="V42" i="34"/>
  <c r="X41" i="34"/>
  <c r="X40" i="34" s="1"/>
  <c r="AP43" i="34"/>
  <c r="S49" i="34"/>
  <c r="AD58" i="34"/>
  <c r="BH28" i="34"/>
  <c r="BM40" i="34"/>
  <c r="BM26" i="34" s="1"/>
  <c r="BM28" i="34"/>
  <c r="AT27" i="34"/>
  <c r="AE30" i="34"/>
  <c r="BE30" i="34"/>
  <c r="AN31" i="34"/>
  <c r="AN32" i="34"/>
  <c r="AN33" i="34"/>
  <c r="AC34" i="34"/>
  <c r="AI34" i="34" s="1"/>
  <c r="N34" i="34" s="1"/>
  <c r="AP36" i="34"/>
  <c r="AD36" i="34"/>
  <c r="AX38" i="34"/>
  <c r="AR38" i="34"/>
  <c r="AN38" i="34" s="1"/>
  <c r="BE40" i="34"/>
  <c r="BC40" i="34" s="1"/>
  <c r="AE41" i="34"/>
  <c r="AE40" i="34" s="1"/>
  <c r="AV41" i="34"/>
  <c r="AS43" i="34"/>
  <c r="AN46" i="34"/>
  <c r="BF49" i="34"/>
  <c r="AX51" i="34"/>
  <c r="AR51" i="34"/>
  <c r="AN51" i="34" s="1"/>
  <c r="AW51" i="34"/>
  <c r="AS51" i="34" s="1"/>
  <c r="V53" i="34"/>
  <c r="AV61" i="34"/>
  <c r="AV60" i="34" s="1"/>
  <c r="V62" i="34"/>
  <c r="X61" i="34"/>
  <c r="X60" i="34" s="1"/>
  <c r="AS64" i="34"/>
  <c r="AX65" i="34"/>
  <c r="AN65" i="34"/>
  <c r="AS80" i="34"/>
  <c r="V95" i="34"/>
  <c r="BE96" i="34"/>
  <c r="BC97" i="34"/>
  <c r="BC96" i="34" s="1"/>
  <c r="AU99" i="34"/>
  <c r="AS99" i="34" s="1"/>
  <c r="AS97" i="34" s="1"/>
  <c r="AS96" i="34" s="1"/>
  <c r="AR99" i="34"/>
  <c r="AX99" i="34" s="1"/>
  <c r="AT97" i="34"/>
  <c r="AT96" i="34" s="1"/>
  <c r="AT112" i="34"/>
  <c r="AT111" i="34" s="1"/>
  <c r="BH111" i="34"/>
  <c r="I112" i="34"/>
  <c r="I111" i="34" s="1"/>
  <c r="S120" i="34"/>
  <c r="AX124" i="34"/>
  <c r="AN124" i="34"/>
  <c r="AD126" i="34"/>
  <c r="BC136" i="34"/>
  <c r="BE135" i="34"/>
  <c r="I135" i="34"/>
  <c r="I134" i="34" s="1"/>
  <c r="S137" i="34"/>
  <c r="X142" i="34"/>
  <c r="V142" i="34" s="1"/>
  <c r="U142" i="34"/>
  <c r="W135" i="34"/>
  <c r="W134" i="34" s="1"/>
  <c r="W26" i="34" s="1"/>
  <c r="X186" i="34"/>
  <c r="X185" i="34" s="1"/>
  <c r="V188" i="34"/>
  <c r="BF190" i="34"/>
  <c r="BH186" i="34"/>
  <c r="BH185" i="34" s="1"/>
  <c r="Z206" i="34"/>
  <c r="Y186" i="34"/>
  <c r="Y185" i="34" s="1"/>
  <c r="AP44" i="34"/>
  <c r="AP41" i="34" s="1"/>
  <c r="AP40" i="34" s="1"/>
  <c r="BF45" i="34"/>
  <c r="V46" i="34"/>
  <c r="V50" i="34"/>
  <c r="AD51" i="34"/>
  <c r="AD54" i="34"/>
  <c r="AS54" i="34"/>
  <c r="BF54" i="34"/>
  <c r="V59" i="34"/>
  <c r="V58" i="34" s="1"/>
  <c r="BE61" i="34"/>
  <c r="AP62" i="34"/>
  <c r="AD63" i="34"/>
  <c r="BF63" i="34"/>
  <c r="V64" i="34"/>
  <c r="AR70" i="34"/>
  <c r="AN70" i="34" s="1"/>
  <c r="AD73" i="34"/>
  <c r="AS73" i="34"/>
  <c r="BF73" i="34"/>
  <c r="V74" i="34"/>
  <c r="V75" i="34"/>
  <c r="BF75" i="34"/>
  <c r="AD77" i="34"/>
  <c r="AD79" i="34"/>
  <c r="BF79" i="34"/>
  <c r="V80" i="34"/>
  <c r="V81" i="34"/>
  <c r="V82" i="34"/>
  <c r="AS82" i="34"/>
  <c r="V86" i="34"/>
  <c r="V92" i="34"/>
  <c r="V94" i="34"/>
  <c r="AS95" i="34"/>
  <c r="AS91" i="34" s="1"/>
  <c r="AD100" i="34"/>
  <c r="AS100" i="34"/>
  <c r="AR104" i="34"/>
  <c r="BF105" i="34"/>
  <c r="AR108" i="34"/>
  <c r="AX108" i="34" s="1"/>
  <c r="BF108" i="34"/>
  <c r="V109" i="34"/>
  <c r="BF109" i="34"/>
  <c r="V110" i="34"/>
  <c r="BF110" i="34"/>
  <c r="AC112" i="34"/>
  <c r="AC111" i="34" s="1"/>
  <c r="V113" i="34"/>
  <c r="BF114" i="34"/>
  <c r="AR122" i="34"/>
  <c r="AN123" i="34"/>
  <c r="V126" i="34"/>
  <c r="AX127" i="34"/>
  <c r="AN127" i="34"/>
  <c r="BF127" i="34"/>
  <c r="BE132" i="34"/>
  <c r="BC132" i="34" s="1"/>
  <c r="BC28" i="34" s="1"/>
  <c r="AP136" i="34"/>
  <c r="U135" i="34"/>
  <c r="U134" i="34" s="1"/>
  <c r="AD136" i="34"/>
  <c r="AD141" i="34"/>
  <c r="BF141" i="34"/>
  <c r="AF142" i="34"/>
  <c r="AF135" i="34" s="1"/>
  <c r="AF134" i="34" s="1"/>
  <c r="AD134" i="34" s="1"/>
  <c r="AE135" i="34"/>
  <c r="AE134" i="34" s="1"/>
  <c r="BF145" i="34"/>
  <c r="V146" i="34"/>
  <c r="BF147" i="34"/>
  <c r="V150" i="34"/>
  <c r="BF150" i="34"/>
  <c r="AD151" i="34"/>
  <c r="V156" i="34"/>
  <c r="AD157" i="34"/>
  <c r="AD158" i="34"/>
  <c r="V159" i="34"/>
  <c r="BF160" i="34"/>
  <c r="V161" i="34"/>
  <c r="AS171" i="34"/>
  <c r="BF173" i="34"/>
  <c r="AC177" i="34"/>
  <c r="AF177" i="34"/>
  <c r="AE176" i="34"/>
  <c r="AE175" i="34" s="1"/>
  <c r="AD184" i="34"/>
  <c r="AD183" i="34" s="1"/>
  <c r="AF183" i="34"/>
  <c r="AH186" i="34"/>
  <c r="AH185" i="34" s="1"/>
  <c r="AF195" i="34"/>
  <c r="AD195" i="34" s="1"/>
  <c r="AC195" i="34"/>
  <c r="AI195" i="34" s="1"/>
  <c r="AX203" i="34"/>
  <c r="AN203" i="34"/>
  <c r="X210" i="34"/>
  <c r="X209" i="34" s="1"/>
  <c r="AC210" i="34"/>
  <c r="AC209" i="34" s="1"/>
  <c r="AI216" i="34"/>
  <c r="N216" i="34" s="1"/>
  <c r="S216" i="34"/>
  <c r="AP49" i="34"/>
  <c r="AR50" i="34"/>
  <c r="AN50" i="34" s="1"/>
  <c r="AR53" i="34"/>
  <c r="AN53" i="34" s="1"/>
  <c r="AD62" i="34"/>
  <c r="AP71" i="34"/>
  <c r="AS75" i="34"/>
  <c r="AP76" i="34"/>
  <c r="AP93" i="34"/>
  <c r="AP99" i="34"/>
  <c r="AP106" i="34"/>
  <c r="AS108" i="34"/>
  <c r="AS110" i="34"/>
  <c r="AP116" i="34"/>
  <c r="AP120" i="34"/>
  <c r="AP123" i="34"/>
  <c r="AP127" i="34"/>
  <c r="AP128" i="34"/>
  <c r="S133" i="34"/>
  <c r="AC132" i="34"/>
  <c r="Z135" i="34"/>
  <c r="Z134" i="34" s="1"/>
  <c r="AP137" i="34"/>
  <c r="AP138" i="34"/>
  <c r="AP139" i="34"/>
  <c r="AP140" i="34"/>
  <c r="AX143" i="34"/>
  <c r="AN143" i="34"/>
  <c r="AX151" i="34"/>
  <c r="AN151" i="34"/>
  <c r="AX162" i="34"/>
  <c r="AN162" i="34"/>
  <c r="AP164" i="34"/>
  <c r="X176" i="34"/>
  <c r="V177" i="34"/>
  <c r="U175" i="34"/>
  <c r="Z186" i="34"/>
  <c r="Z185" i="34" s="1"/>
  <c r="BJ186" i="34"/>
  <c r="BJ185" i="34" s="1"/>
  <c r="AU188" i="34"/>
  <c r="AT186" i="34"/>
  <c r="AT185" i="34" s="1"/>
  <c r="AR188" i="34"/>
  <c r="BC189" i="34"/>
  <c r="BE186" i="34"/>
  <c r="AX226" i="34"/>
  <c r="AN226" i="34"/>
  <c r="AP251" i="34"/>
  <c r="U247" i="34"/>
  <c r="U246" i="34" s="1"/>
  <c r="AI270" i="34"/>
  <c r="S270" i="34"/>
  <c r="X272" i="34"/>
  <c r="X271" i="34" s="1"/>
  <c r="AP45" i="34"/>
  <c r="S46" i="34"/>
  <c r="AP47" i="34"/>
  <c r="AP48" i="34"/>
  <c r="AS49" i="34"/>
  <c r="AP56" i="34"/>
  <c r="AP57" i="34"/>
  <c r="AP65" i="34"/>
  <c r="AB40" i="32"/>
  <c r="V31" i="34"/>
  <c r="V30" i="34" s="1"/>
  <c r="V32" i="34"/>
  <c r="V33" i="34"/>
  <c r="BF34" i="34"/>
  <c r="V35" i="34"/>
  <c r="AP38" i="34"/>
  <c r="AD38" i="34"/>
  <c r="BF39" i="34"/>
  <c r="AS42" i="34"/>
  <c r="AD43" i="34"/>
  <c r="AC44" i="34"/>
  <c r="AC41" i="34" s="1"/>
  <c r="AC40" i="34" s="1"/>
  <c r="S40" i="34" s="1"/>
  <c r="BF44" i="34"/>
  <c r="V45" i="34"/>
  <c r="V41" i="34" s="1"/>
  <c r="V40" i="34" s="1"/>
  <c r="AP46" i="34"/>
  <c r="AD46" i="34"/>
  <c r="V47" i="34"/>
  <c r="BF47" i="34"/>
  <c r="V48" i="34"/>
  <c r="V49" i="34"/>
  <c r="AP50" i="34"/>
  <c r="AS50" i="34"/>
  <c r="AW52" i="34"/>
  <c r="AS52" i="34" s="1"/>
  <c r="AS53" i="34"/>
  <c r="V56" i="34"/>
  <c r="BF56" i="34"/>
  <c r="V57" i="34"/>
  <c r="BF57" i="34"/>
  <c r="AP59" i="34"/>
  <c r="AP58" i="34" s="1"/>
  <c r="Y61" i="34"/>
  <c r="AE61" i="34"/>
  <c r="AE60" i="34" s="1"/>
  <c r="AN62" i="34"/>
  <c r="AP64" i="34"/>
  <c r="AD64" i="34"/>
  <c r="BF64" i="34"/>
  <c r="V65" i="34"/>
  <c r="BF69" i="34"/>
  <c r="V71" i="34"/>
  <c r="BC77" i="34"/>
  <c r="AP80" i="34"/>
  <c r="AD80" i="34"/>
  <c r="AP81" i="34"/>
  <c r="AD81" i="34"/>
  <c r="BF81" i="34"/>
  <c r="AP82" i="34"/>
  <c r="BF82" i="34"/>
  <c r="AN83" i="34"/>
  <c r="S84" i="34"/>
  <c r="S85" i="34"/>
  <c r="AP86" i="34"/>
  <c r="AD86" i="34"/>
  <c r="AS86" i="34"/>
  <c r="AR87" i="34"/>
  <c r="AX87" i="34" s="1"/>
  <c r="BF87" i="34"/>
  <c r="V88" i="34"/>
  <c r="AN90" i="34"/>
  <c r="AF91" i="34"/>
  <c r="AU91" i="34"/>
  <c r="BH91" i="34"/>
  <c r="AP92" i="34"/>
  <c r="AD92" i="34"/>
  <c r="AD91" i="34" s="1"/>
  <c r="V93" i="34"/>
  <c r="AP94" i="34"/>
  <c r="AD94" i="34"/>
  <c r="AS94" i="34"/>
  <c r="BF94" i="34"/>
  <c r="AN98" i="34"/>
  <c r="BF98" i="34"/>
  <c r="V99" i="34"/>
  <c r="AC100" i="34"/>
  <c r="AI100" i="34" s="1"/>
  <c r="N100" i="34" s="1"/>
  <c r="AR100" i="34"/>
  <c r="S105" i="34"/>
  <c r="V106" i="34"/>
  <c r="BF107" i="34"/>
  <c r="V108" i="34"/>
  <c r="AP110" i="34"/>
  <c r="X112" i="34"/>
  <c r="X111" i="34" s="1"/>
  <c r="BE112" i="34"/>
  <c r="BF113" i="34"/>
  <c r="V114" i="34"/>
  <c r="BF115" i="34"/>
  <c r="V116" i="34"/>
  <c r="AN121" i="34"/>
  <c r="V123" i="34"/>
  <c r="AW123" i="34"/>
  <c r="AW112" i="34" s="1"/>
  <c r="AW111" i="34" s="1"/>
  <c r="BF124" i="34"/>
  <c r="V125" i="34"/>
  <c r="AX126" i="34"/>
  <c r="AR126" i="34"/>
  <c r="AN126" i="34" s="1"/>
  <c r="AP133" i="34"/>
  <c r="AP132" i="34" s="1"/>
  <c r="AD133" i="34"/>
  <c r="AD132" i="34" s="1"/>
  <c r="BF133" i="34"/>
  <c r="BF132" i="34" s="1"/>
  <c r="BH132" i="34"/>
  <c r="AC142" i="34"/>
  <c r="AR142" i="34"/>
  <c r="AD146" i="34"/>
  <c r="AS146" i="34"/>
  <c r="AN147" i="34"/>
  <c r="BC150" i="34"/>
  <c r="BE149" i="34"/>
  <c r="AS151" i="34"/>
  <c r="AP153" i="34"/>
  <c r="AD153" i="34"/>
  <c r="V154" i="34"/>
  <c r="BF154" i="34"/>
  <c r="AP155" i="34"/>
  <c r="S155" i="34"/>
  <c r="S149" i="34" s="1"/>
  <c r="S148" i="34" s="1"/>
  <c r="AP156" i="34"/>
  <c r="AD156" i="34"/>
  <c r="AW157" i="34"/>
  <c r="AW149" i="34" s="1"/>
  <c r="AW148" i="34" s="1"/>
  <c r="AR157" i="34"/>
  <c r="AW159" i="34"/>
  <c r="AR159" i="34"/>
  <c r="AW161" i="34"/>
  <c r="AS161" i="34" s="1"/>
  <c r="AR161" i="34"/>
  <c r="AX168" i="34"/>
  <c r="AN168" i="34"/>
  <c r="AD174" i="34"/>
  <c r="Z175" i="34"/>
  <c r="BC177" i="34"/>
  <c r="BE176" i="34"/>
  <c r="AI188" i="34"/>
  <c r="S188" i="34"/>
  <c r="AW186" i="34"/>
  <c r="AW185" i="34" s="1"/>
  <c r="AF194" i="34"/>
  <c r="AD194" i="34" s="1"/>
  <c r="AC194" i="34"/>
  <c r="BK204" i="34"/>
  <c r="BK186" i="34" s="1"/>
  <c r="BK185" i="34" s="1"/>
  <c r="BC204" i="34"/>
  <c r="AD159" i="34"/>
  <c r="AD160" i="34"/>
  <c r="AS160" i="34"/>
  <c r="AD161" i="34"/>
  <c r="V163" i="34"/>
  <c r="AD165" i="34"/>
  <c r="V166" i="34"/>
  <c r="BF166" i="34"/>
  <c r="V169" i="34"/>
  <c r="AR171" i="34"/>
  <c r="V174" i="34"/>
  <c r="BF174" i="34"/>
  <c r="BH176" i="34"/>
  <c r="BH175" i="34" s="1"/>
  <c r="AE186" i="34"/>
  <c r="V187" i="34"/>
  <c r="U188" i="34"/>
  <c r="BF188" i="34"/>
  <c r="V189" i="34"/>
  <c r="V192" i="34"/>
  <c r="AS192" i="34"/>
  <c r="V193" i="34"/>
  <c r="AS199" i="34"/>
  <c r="AD202" i="34"/>
  <c r="AS202" i="34"/>
  <c r="BF202" i="34"/>
  <c r="AR204" i="34"/>
  <c r="AS205" i="34"/>
  <c r="AE207" i="34"/>
  <c r="AC207" i="34" s="1"/>
  <c r="AP207" i="34" s="1"/>
  <c r="BH210" i="34"/>
  <c r="BH209" i="34" s="1"/>
  <c r="Z210" i="34"/>
  <c r="Z209" i="34" s="1"/>
  <c r="BF218" i="34"/>
  <c r="AD227" i="34"/>
  <c r="AW228" i="34"/>
  <c r="AS228" i="34" s="1"/>
  <c r="AR228" i="34"/>
  <c r="AH233" i="34"/>
  <c r="AH232" i="34" s="1"/>
  <c r="AD237" i="34"/>
  <c r="AX240" i="34"/>
  <c r="AN240" i="34"/>
  <c r="AI242" i="34"/>
  <c r="N242" i="34" s="1"/>
  <c r="S242" i="34"/>
  <c r="AX259" i="34"/>
  <c r="AN259" i="34"/>
  <c r="AH272" i="34"/>
  <c r="AH271" i="34" s="1"/>
  <c r="AP167" i="34"/>
  <c r="AP170" i="34"/>
  <c r="AP172" i="34"/>
  <c r="AP182" i="34"/>
  <c r="AP203" i="34"/>
  <c r="AP208" i="34"/>
  <c r="BC208" i="34"/>
  <c r="BC207" i="34" s="1"/>
  <c r="BE207" i="34"/>
  <c r="AP211" i="34"/>
  <c r="AP210" i="34" s="1"/>
  <c r="AP209" i="34" s="1"/>
  <c r="U210" i="34"/>
  <c r="U209" i="34" s="1"/>
  <c r="AD218" i="34"/>
  <c r="AV246" i="34"/>
  <c r="V249" i="34"/>
  <c r="X247" i="34"/>
  <c r="X246" i="34" s="1"/>
  <c r="AX265" i="34"/>
  <c r="AN265" i="34"/>
  <c r="AP125" i="34"/>
  <c r="AD125" i="34"/>
  <c r="AS125" i="34"/>
  <c r="V128" i="34"/>
  <c r="BF128" i="34"/>
  <c r="V138" i="34"/>
  <c r="V140" i="34"/>
  <c r="AS145" i="34"/>
  <c r="AP146" i="34"/>
  <c r="BF146" i="34"/>
  <c r="V147" i="34"/>
  <c r="AP150" i="34"/>
  <c r="AD150" i="34"/>
  <c r="V152" i="34"/>
  <c r="BF152" i="34"/>
  <c r="AS154" i="34"/>
  <c r="AD155" i="34"/>
  <c r="AS155" i="34"/>
  <c r="BF155" i="34"/>
  <c r="BF161" i="34"/>
  <c r="V162" i="34"/>
  <c r="AS162" i="34"/>
  <c r="AP163" i="34"/>
  <c r="V164" i="34"/>
  <c r="AS164" i="34"/>
  <c r="AP166" i="34"/>
  <c r="AD166" i="34"/>
  <c r="V167" i="34"/>
  <c r="AP169" i="34"/>
  <c r="AD169" i="34"/>
  <c r="V170" i="34"/>
  <c r="V172" i="34"/>
  <c r="AS172" i="34"/>
  <c r="AS173" i="34"/>
  <c r="AP174" i="34"/>
  <c r="AP177" i="34"/>
  <c r="X183" i="34"/>
  <c r="X28" i="34" s="1"/>
  <c r="AP187" i="34"/>
  <c r="AD187" i="34"/>
  <c r="AP189" i="34"/>
  <c r="AD189" i="34"/>
  <c r="AS189" i="34"/>
  <c r="AN190" i="34"/>
  <c r="AC191" i="34"/>
  <c r="AI191" i="34" s="1"/>
  <c r="N191" i="34" s="1"/>
  <c r="BF191" i="34"/>
  <c r="AP192" i="34"/>
  <c r="BF192" i="34"/>
  <c r="AP193" i="34"/>
  <c r="V203" i="34"/>
  <c r="BF203" i="34"/>
  <c r="S206" i="34"/>
  <c r="AD206" i="34"/>
  <c r="BE210" i="34"/>
  <c r="V211" i="34"/>
  <c r="V212" i="34"/>
  <c r="BF214" i="34"/>
  <c r="V215" i="34"/>
  <c r="AP226" i="34"/>
  <c r="AW227" i="34"/>
  <c r="AS227" i="34" s="1"/>
  <c r="AV210" i="34"/>
  <c r="AV209" i="34" s="1"/>
  <c r="AR227" i="34"/>
  <c r="AX229" i="34"/>
  <c r="AN229" i="34"/>
  <c r="AP234" i="34"/>
  <c r="U233" i="34"/>
  <c r="U232" i="34" s="1"/>
  <c r="BF235" i="34"/>
  <c r="BF233" i="34" s="1"/>
  <c r="BF232" i="34" s="1"/>
  <c r="BH233" i="34"/>
  <c r="BH232" i="34" s="1"/>
  <c r="Z247" i="34"/>
  <c r="Z246" i="34" s="1"/>
  <c r="V217" i="34"/>
  <c r="AP218" i="34"/>
  <c r="AP219" i="34"/>
  <c r="AD224" i="34"/>
  <c r="V225" i="34"/>
  <c r="AD228" i="34"/>
  <c r="BF231" i="34"/>
  <c r="AD235" i="34"/>
  <c r="AR236" i="34"/>
  <c r="AU236" i="34"/>
  <c r="AS236" i="34" s="1"/>
  <c r="AX238" i="34"/>
  <c r="AN238" i="34"/>
  <c r="BF238" i="34"/>
  <c r="BH246" i="34"/>
  <c r="AR251" i="34"/>
  <c r="AT247" i="34"/>
  <c r="AT246" i="34" s="1"/>
  <c r="AU251" i="34"/>
  <c r="AI252" i="34"/>
  <c r="N252" i="34" s="1"/>
  <c r="S252" i="34"/>
  <c r="AS252" i="34"/>
  <c r="BF253" i="34"/>
  <c r="V256" i="34"/>
  <c r="V247" i="34" s="1"/>
  <c r="S267" i="34"/>
  <c r="AC266" i="34"/>
  <c r="S266" i="34" s="1"/>
  <c r="BC267" i="34"/>
  <c r="BE266" i="34"/>
  <c r="BC266" i="34" s="1"/>
  <c r="BJ266" i="34"/>
  <c r="BJ28" i="34" s="1"/>
  <c r="AV266" i="34"/>
  <c r="AR270" i="34"/>
  <c r="AX270" i="34" s="1"/>
  <c r="BC273" i="34"/>
  <c r="BE272" i="34"/>
  <c r="AP230" i="34"/>
  <c r="AP231" i="34"/>
  <c r="AP235" i="34"/>
  <c r="AD236" i="34"/>
  <c r="AP238" i="34"/>
  <c r="AC240" i="34"/>
  <c r="AP240" i="34" s="1"/>
  <c r="AF240" i="34"/>
  <c r="AD240" i="34" s="1"/>
  <c r="AX241" i="34"/>
  <c r="AN241" i="34"/>
  <c r="G246" i="34"/>
  <c r="AD248" i="34"/>
  <c r="AH247" i="34"/>
  <c r="AH246" i="34" s="1"/>
  <c r="BJ247" i="34"/>
  <c r="BJ246" i="34" s="1"/>
  <c r="BK246" i="34"/>
  <c r="AW264" i="34"/>
  <c r="AS264" i="34" s="1"/>
  <c r="AR264" i="34"/>
  <c r="AC275" i="34"/>
  <c r="AF275" i="34"/>
  <c r="AD275" i="34" s="1"/>
  <c r="AX278" i="34"/>
  <c r="AN278" i="34"/>
  <c r="BF208" i="34"/>
  <c r="BF207" i="34" s="1"/>
  <c r="AE210" i="34"/>
  <c r="AE209" i="34" s="1"/>
  <c r="BG210" i="34"/>
  <c r="BG209" i="34" s="1"/>
  <c r="BG26" i="34" s="1"/>
  <c r="BF212" i="34"/>
  <c r="V213" i="34"/>
  <c r="V214" i="34"/>
  <c r="AN218" i="34"/>
  <c r="BC220" i="34"/>
  <c r="BF221" i="34"/>
  <c r="AP225" i="34"/>
  <c r="AD225" i="34"/>
  <c r="AS225" i="34"/>
  <c r="BF225" i="34"/>
  <c r="V226" i="34"/>
  <c r="V229" i="34"/>
  <c r="V230" i="34"/>
  <c r="V231" i="34"/>
  <c r="AR233" i="34"/>
  <c r="AR232" i="34" s="1"/>
  <c r="BF234" i="34"/>
  <c r="V235" i="34"/>
  <c r="AP237" i="34"/>
  <c r="N239" i="34"/>
  <c r="AI239" i="34"/>
  <c r="BF239" i="34"/>
  <c r="AS240" i="34"/>
  <c r="AI245" i="34"/>
  <c r="N245" i="34" s="1"/>
  <c r="S245" i="34"/>
  <c r="AN245" i="34"/>
  <c r="AF247" i="34"/>
  <c r="AF246" i="34" s="1"/>
  <c r="AI249" i="34"/>
  <c r="N249" i="34" s="1"/>
  <c r="AC247" i="34"/>
  <c r="AC246" i="34" s="1"/>
  <c r="AX249" i="34"/>
  <c r="AX252" i="34"/>
  <c r="AN252" i="34"/>
  <c r="AP258" i="34"/>
  <c r="AP259" i="34"/>
  <c r="AX260" i="34"/>
  <c r="AN260" i="34"/>
  <c r="V261" i="34"/>
  <c r="V262" i="34"/>
  <c r="V263" i="34"/>
  <c r="V264" i="34"/>
  <c r="AP265" i="34"/>
  <c r="AI268" i="34"/>
  <c r="N268" i="34" s="1"/>
  <c r="S268" i="34"/>
  <c r="AX266" i="34"/>
  <c r="BF268" i="34"/>
  <c r="AI273" i="34"/>
  <c r="S273" i="34"/>
  <c r="AC274" i="34"/>
  <c r="AP274" i="34" s="1"/>
  <c r="BJ272" i="34"/>
  <c r="BJ271" i="34" s="1"/>
  <c r="AN276" i="34"/>
  <c r="AC278" i="34"/>
  <c r="AI278" i="34" s="1"/>
  <c r="N278" i="34" s="1"/>
  <c r="AS285" i="34"/>
  <c r="AI292" i="34"/>
  <c r="N292" i="34" s="1"/>
  <c r="S292" i="34"/>
  <c r="AI307" i="34"/>
  <c r="N307" i="34" s="1"/>
  <c r="S307" i="34"/>
  <c r="AX308" i="34"/>
  <c r="AN308" i="34"/>
  <c r="AR309" i="34"/>
  <c r="AW309" i="34"/>
  <c r="AD323" i="34"/>
  <c r="N323" i="34"/>
  <c r="AC321" i="34"/>
  <c r="AC320" i="34" s="1"/>
  <c r="V238" i="34"/>
  <c r="AS239" i="34"/>
  <c r="AP249" i="34"/>
  <c r="AP253" i="34"/>
  <c r="AS253" i="34"/>
  <c r="AP254" i="34"/>
  <c r="AP255" i="34"/>
  <c r="AP257" i="34"/>
  <c r="AS257" i="34"/>
  <c r="AS258" i="34"/>
  <c r="AS261" i="34"/>
  <c r="AS263" i="34"/>
  <c r="AP270" i="34"/>
  <c r="AP276" i="34"/>
  <c r="AP278" i="34"/>
  <c r="AX279" i="34"/>
  <c r="AN279" i="34"/>
  <c r="AX298" i="34"/>
  <c r="AN298" i="34"/>
  <c r="AP236" i="34"/>
  <c r="BF240" i="34"/>
  <c r="BF243" i="34"/>
  <c r="V244" i="34"/>
  <c r="Y247" i="34"/>
  <c r="Y246" i="34" s="1"/>
  <c r="BE247" i="34"/>
  <c r="BF249" i="34"/>
  <c r="AP250" i="34"/>
  <c r="AS250" i="34"/>
  <c r="V253" i="34"/>
  <c r="V254" i="34"/>
  <c r="V255" i="34"/>
  <c r="AP256" i="34"/>
  <c r="AD256" i="34"/>
  <c r="AS256" i="34"/>
  <c r="V257" i="34"/>
  <c r="AP261" i="34"/>
  <c r="AD261" i="34"/>
  <c r="AP262" i="34"/>
  <c r="AD262" i="34"/>
  <c r="AP263" i="34"/>
  <c r="AP264" i="34"/>
  <c r="AD264" i="34"/>
  <c r="BF274" i="34"/>
  <c r="AP275" i="34"/>
  <c r="AS277" i="34"/>
  <c r="BF279" i="34"/>
  <c r="V280" i="34"/>
  <c r="AP281" i="34"/>
  <c r="AD281" i="34"/>
  <c r="AP284" i="34"/>
  <c r="AX291" i="34"/>
  <c r="AN291" i="34"/>
  <c r="N321" i="34"/>
  <c r="N320" i="34" s="1"/>
  <c r="AF286" i="34"/>
  <c r="AD286" i="34" s="1"/>
  <c r="AC286" i="34"/>
  <c r="AI286" i="34" s="1"/>
  <c r="N286" i="34" s="1"/>
  <c r="AX306" i="34"/>
  <c r="AN306" i="34"/>
  <c r="AX323" i="34"/>
  <c r="AN323" i="34"/>
  <c r="AD276" i="34"/>
  <c r="BF276" i="34"/>
  <c r="V277" i="34"/>
  <c r="BF281" i="34"/>
  <c r="V282" i="34"/>
  <c r="AP283" i="34"/>
  <c r="AD283" i="34"/>
  <c r="AP285" i="34"/>
  <c r="AD285" i="34"/>
  <c r="BF286" i="34"/>
  <c r="AP287" i="34"/>
  <c r="AD287" i="34"/>
  <c r="AS287" i="34"/>
  <c r="V288" i="34"/>
  <c r="BF293" i="34"/>
  <c r="BF294" i="34"/>
  <c r="AP295" i="34"/>
  <c r="AD295" i="34"/>
  <c r="AS295" i="34"/>
  <c r="V297" i="34"/>
  <c r="BF299" i="34"/>
  <c r="AP300" i="34"/>
  <c r="AD300" i="34"/>
  <c r="BF300" i="34"/>
  <c r="AP301" i="34"/>
  <c r="AD301" i="34"/>
  <c r="AS301" i="34"/>
  <c r="BF301" i="34"/>
  <c r="AP305" i="34"/>
  <c r="AD305" i="34"/>
  <c r="AS305" i="34"/>
  <c r="S309" i="34"/>
  <c r="AD309" i="34"/>
  <c r="AS309" i="34"/>
  <c r="BF309" i="34"/>
  <c r="V310" i="34"/>
  <c r="AS310" i="34"/>
  <c r="AP312" i="34"/>
  <c r="AD312" i="34"/>
  <c r="AP313" i="34"/>
  <c r="AD313" i="34"/>
  <c r="AP314" i="34"/>
  <c r="AD314" i="34"/>
  <c r="V315" i="34"/>
  <c r="AP316" i="34"/>
  <c r="AD316" i="34"/>
  <c r="AS316" i="34"/>
  <c r="AD317" i="34"/>
  <c r="AS317" i="34"/>
  <c r="AS318" i="34"/>
  <c r="AP319" i="34"/>
  <c r="AP323" i="34"/>
  <c r="AS324" i="34"/>
  <c r="AN287" i="34"/>
  <c r="BF288" i="34"/>
  <c r="AP289" i="34"/>
  <c r="BF289" i="34"/>
  <c r="BF290" i="34"/>
  <c r="AP291" i="34"/>
  <c r="AD291" i="34"/>
  <c r="AS291" i="34"/>
  <c r="V293" i="34"/>
  <c r="AN295" i="34"/>
  <c r="S296" i="34"/>
  <c r="BF297" i="34"/>
  <c r="AP298" i="34"/>
  <c r="AD298" i="34"/>
  <c r="AS298" i="34"/>
  <c r="V299" i="34"/>
  <c r="AN300" i="34"/>
  <c r="AN301" i="34"/>
  <c r="V306" i="34"/>
  <c r="AD306" i="34"/>
  <c r="AS306" i="34"/>
  <c r="BF306" i="34"/>
  <c r="AS307" i="34"/>
  <c r="AP308" i="34"/>
  <c r="AD308" i="34"/>
  <c r="AS308" i="34"/>
  <c r="BF308" i="34"/>
  <c r="V309" i="34"/>
  <c r="AN310" i="34"/>
  <c r="V311" i="34"/>
  <c r="BF311" i="34"/>
  <c r="BF315" i="34"/>
  <c r="AN316" i="34"/>
  <c r="AN317" i="34"/>
  <c r="V318" i="34"/>
  <c r="AS321" i="34"/>
  <c r="AS320" i="34" s="1"/>
  <c r="AW321" i="34"/>
  <c r="AW320" i="34" s="1"/>
  <c r="S324" i="34"/>
  <c r="AB175" i="32"/>
  <c r="AB185" i="32"/>
  <c r="AB111" i="32"/>
  <c r="AB28" i="32"/>
  <c r="AD34" i="34"/>
  <c r="AN34" i="34"/>
  <c r="BC30" i="34"/>
  <c r="BF46" i="34"/>
  <c r="AD59" i="34"/>
  <c r="BK61" i="34"/>
  <c r="BK60" i="34" s="1"/>
  <c r="BK28" i="34"/>
  <c r="V97" i="34"/>
  <c r="V96" i="34" s="1"/>
  <c r="AD99" i="34"/>
  <c r="AN99" i="34"/>
  <c r="AS115" i="34"/>
  <c r="BF135" i="34"/>
  <c r="BF134" i="34" s="1"/>
  <c r="AD145" i="34"/>
  <c r="AN145" i="34"/>
  <c r="AS153" i="34"/>
  <c r="BF153" i="34"/>
  <c r="AP154" i="34"/>
  <c r="AD154" i="34"/>
  <c r="AN156" i="34"/>
  <c r="AN36" i="34"/>
  <c r="BF30" i="34"/>
  <c r="BF29" i="34" s="1"/>
  <c r="BF38" i="34"/>
  <c r="AP42" i="34"/>
  <c r="AD42" i="34"/>
  <c r="BF42" i="34"/>
  <c r="S43" i="34"/>
  <c r="AN44" i="34"/>
  <c r="AD45" i="34"/>
  <c r="AN45" i="34"/>
  <c r="AS55" i="34"/>
  <c r="BF55" i="34"/>
  <c r="AD56" i="34"/>
  <c r="AD57" i="34"/>
  <c r="AD69" i="34"/>
  <c r="V70" i="34"/>
  <c r="S71" i="34"/>
  <c r="S72" i="34"/>
  <c r="S73" i="34"/>
  <c r="AS74" i="34"/>
  <c r="BF74" i="34"/>
  <c r="BF61" i="34" s="1"/>
  <c r="BF60" i="34" s="1"/>
  <c r="AP75" i="34"/>
  <c r="AD75" i="34"/>
  <c r="V76" i="34"/>
  <c r="V77" i="34"/>
  <c r="AN87" i="34"/>
  <c r="AS87" i="34"/>
  <c r="AP88" i="34"/>
  <c r="AD88" i="34"/>
  <c r="AN88" i="34"/>
  <c r="S92" i="34"/>
  <c r="S93" i="34"/>
  <c r="BF91" i="34"/>
  <c r="S104" i="34"/>
  <c r="AN105" i="34"/>
  <c r="AS105" i="34"/>
  <c r="BF106" i="34"/>
  <c r="BF97" i="34" s="1"/>
  <c r="BF96" i="34" s="1"/>
  <c r="AD107" i="34"/>
  <c r="AN107" i="34"/>
  <c r="AP108" i="34"/>
  <c r="AD108" i="34"/>
  <c r="AN108" i="34"/>
  <c r="AS109" i="34"/>
  <c r="AD110" i="34"/>
  <c r="AP113" i="34"/>
  <c r="AD113" i="34"/>
  <c r="AP114" i="34"/>
  <c r="AS129" i="34"/>
  <c r="BF129" i="34"/>
  <c r="BF112" i="34" s="1"/>
  <c r="BF111" i="34" s="1"/>
  <c r="AD130" i="34"/>
  <c r="AN130" i="34"/>
  <c r="V131" i="34"/>
  <c r="AD131" i="34"/>
  <c r="AN131" i="34"/>
  <c r="V133" i="34"/>
  <c r="V132" i="34" s="1"/>
  <c r="V136" i="34"/>
  <c r="V137" i="34"/>
  <c r="V139" i="34"/>
  <c r="AS158" i="34"/>
  <c r="AD163" i="34"/>
  <c r="AN163" i="34"/>
  <c r="AS166" i="34"/>
  <c r="AN167" i="34"/>
  <c r="AD173" i="34"/>
  <c r="AN173" i="34"/>
  <c r="AD191" i="34"/>
  <c r="AN191" i="34"/>
  <c r="AD199" i="34"/>
  <c r="AN199" i="34"/>
  <c r="AS201" i="34"/>
  <c r="BF201" i="34"/>
  <c r="AD205" i="34"/>
  <c r="AN205" i="34"/>
  <c r="V206" i="34"/>
  <c r="V186" i="34" s="1"/>
  <c r="V185" i="34" s="1"/>
  <c r="AP221" i="34"/>
  <c r="AP223" i="34"/>
  <c r="V224" i="34"/>
  <c r="BF224" i="34"/>
  <c r="S225" i="34"/>
  <c r="BC225" i="34"/>
  <c r="BF228" i="34"/>
  <c r="AS230" i="34"/>
  <c r="BF230" i="34"/>
  <c r="BC231" i="34"/>
  <c r="V234" i="34"/>
  <c r="V233" i="34" s="1"/>
  <c r="V232" i="34" s="1"/>
  <c r="S235" i="34"/>
  <c r="S236" i="34"/>
  <c r="AN237" i="34"/>
  <c r="AS159" i="34"/>
  <c r="AD162" i="34"/>
  <c r="AD149" i="34" s="1"/>
  <c r="AD148" i="34" s="1"/>
  <c r="AS165" i="34"/>
  <c r="AS169" i="34"/>
  <c r="BF169" i="34"/>
  <c r="AD170" i="34"/>
  <c r="AN170" i="34"/>
  <c r="V182" i="34"/>
  <c r="V176" i="34" s="1"/>
  <c r="V175" i="34" s="1"/>
  <c r="BF182" i="34"/>
  <c r="BF176" i="34" s="1"/>
  <c r="BF184" i="34"/>
  <c r="BF183" i="34" s="1"/>
  <c r="S187" i="34"/>
  <c r="BF187" i="34"/>
  <c r="AP188" i="34"/>
  <c r="AN188" i="34"/>
  <c r="AS200" i="34"/>
  <c r="BF206" i="34"/>
  <c r="AS212" i="34"/>
  <c r="AS210" i="34" s="1"/>
  <c r="AS209" i="34" s="1"/>
  <c r="AS214" i="34"/>
  <c r="AS216" i="34"/>
  <c r="AP217" i="34"/>
  <c r="AD217" i="34"/>
  <c r="BF217" i="34"/>
  <c r="BF210" i="34" s="1"/>
  <c r="BF209" i="34" s="1"/>
  <c r="S218" i="34"/>
  <c r="BC218" i="34"/>
  <c r="S219" i="34"/>
  <c r="BC219" i="34"/>
  <c r="AP222" i="34"/>
  <c r="AS226" i="34"/>
  <c r="BF226" i="34"/>
  <c r="BC227" i="34"/>
  <c r="AS238" i="34"/>
  <c r="AN239" i="34"/>
  <c r="AN242" i="34"/>
  <c r="AS242" i="34"/>
  <c r="AN243" i="34"/>
  <c r="AS243" i="34"/>
  <c r="AD255" i="34"/>
  <c r="AN255" i="34"/>
  <c r="AN257" i="34"/>
  <c r="AS262" i="34"/>
  <c r="V265" i="34"/>
  <c r="AS265" i="34"/>
  <c r="AP267" i="34"/>
  <c r="AD267" i="34"/>
  <c r="AN268" i="34"/>
  <c r="AS268" i="34"/>
  <c r="AP269" i="34"/>
  <c r="AD269" i="34"/>
  <c r="AN270" i="34"/>
  <c r="AN273" i="34"/>
  <c r="AN274" i="34"/>
  <c r="AS274" i="34"/>
  <c r="AN275" i="34"/>
  <c r="V276" i="34"/>
  <c r="V272" i="34" s="1"/>
  <c r="V271" i="34" s="1"/>
  <c r="AP277" i="34"/>
  <c r="AD277" i="34"/>
  <c r="AN277" i="34"/>
  <c r="V278" i="34"/>
  <c r="V279" i="34"/>
  <c r="S280" i="34"/>
  <c r="AS280" i="34"/>
  <c r="S281" i="34"/>
  <c r="AS281" i="34"/>
  <c r="S282" i="34"/>
  <c r="AS282" i="34"/>
  <c r="AN283" i="34"/>
  <c r="AN297" i="34"/>
  <c r="AN299" i="34"/>
  <c r="AS299" i="34"/>
  <c r="AP244" i="34"/>
  <c r="AD244" i="34"/>
  <c r="AN244" i="34"/>
  <c r="AN248" i="34"/>
  <c r="AN250" i="34"/>
  <c r="BC253" i="34"/>
  <c r="BC247" i="34" s="1"/>
  <c r="AD263" i="34"/>
  <c r="V266" i="34"/>
  <c r="BF266" i="34"/>
  <c r="AD284" i="34"/>
  <c r="AN284" i="34"/>
  <c r="AS286" i="34"/>
  <c r="AN290" i="34"/>
  <c r="AS290" i="34"/>
  <c r="AN292" i="34"/>
  <c r="AS292" i="34"/>
  <c r="AN294" i="34"/>
  <c r="AS294" i="34"/>
  <c r="AN296" i="34"/>
  <c r="AS296" i="34"/>
  <c r="AP304" i="34"/>
  <c r="AD304" i="34"/>
  <c r="AN304" i="34"/>
  <c r="S305" i="34"/>
  <c r="BF305" i="34"/>
  <c r="S306" i="34"/>
  <c r="AN307" i="34"/>
  <c r="S308" i="34"/>
  <c r="AS311" i="34"/>
  <c r="AN314" i="34"/>
  <c r="BF317" i="34"/>
  <c r="AD318" i="34"/>
  <c r="AN318" i="34"/>
  <c r="BF319" i="34"/>
  <c r="AD321" i="34"/>
  <c r="AD320" i="34" s="1"/>
  <c r="BF322" i="34"/>
  <c r="BF321" i="34" s="1"/>
  <c r="BF320" i="34" s="1"/>
  <c r="BF41" i="34"/>
  <c r="BF40" i="34" s="1"/>
  <c r="AD44" i="34"/>
  <c r="AF41" i="34"/>
  <c r="AS45" i="34"/>
  <c r="AU41" i="34"/>
  <c r="AU40" i="34" s="1"/>
  <c r="AY28" i="34"/>
  <c r="AY40" i="34"/>
  <c r="AY26" i="34" s="1"/>
  <c r="AI58" i="34"/>
  <c r="N59" i="34"/>
  <c r="N58" i="34" s="1"/>
  <c r="AS59" i="34"/>
  <c r="AS58" i="34" s="1"/>
  <c r="AW58" i="34"/>
  <c r="V69" i="34"/>
  <c r="Z61" i="34"/>
  <c r="N78" i="34"/>
  <c r="M78" i="34"/>
  <c r="N82" i="34"/>
  <c r="M82" i="34"/>
  <c r="N85" i="34"/>
  <c r="M85" i="34"/>
  <c r="N94" i="34"/>
  <c r="M94" i="34"/>
  <c r="AD98" i="34"/>
  <c r="AF97" i="34"/>
  <c r="AF96" i="34" s="1"/>
  <c r="AS106" i="34"/>
  <c r="AW97" i="34"/>
  <c r="AW96" i="34" s="1"/>
  <c r="AD114" i="34"/>
  <c r="AF112" i="34"/>
  <c r="AF111" i="34" s="1"/>
  <c r="AS114" i="34"/>
  <c r="AD31" i="34"/>
  <c r="AD30" i="34" s="1"/>
  <c r="AF30" i="34"/>
  <c r="AS34" i="34"/>
  <c r="BC29" i="34"/>
  <c r="N42" i="34"/>
  <c r="AZ40" i="34"/>
  <c r="AZ26" i="34" s="1"/>
  <c r="AZ28" i="34"/>
  <c r="N62" i="34"/>
  <c r="AD65" i="34"/>
  <c r="AD61" i="34" s="1"/>
  <c r="AF61" i="34"/>
  <c r="AF60" i="34" s="1"/>
  <c r="AD60" i="34" s="1"/>
  <c r="AS65" i="34"/>
  <c r="AU61" i="34"/>
  <c r="AW61" i="34"/>
  <c r="AW60" i="34" s="1"/>
  <c r="AS69" i="34"/>
  <c r="M80" i="34"/>
  <c r="N80" i="34"/>
  <c r="N92" i="34"/>
  <c r="AI91" i="34"/>
  <c r="N95" i="34"/>
  <c r="M95" i="34"/>
  <c r="AI33" i="34"/>
  <c r="N33" i="34" s="1"/>
  <c r="AI35" i="34"/>
  <c r="N35" i="34" s="1"/>
  <c r="AI36" i="34"/>
  <c r="N36" i="34" s="1"/>
  <c r="AI38" i="34"/>
  <c r="N38" i="34" s="1"/>
  <c r="AU39" i="34"/>
  <c r="AS39" i="34" s="1"/>
  <c r="S42" i="34"/>
  <c r="S47" i="34"/>
  <c r="AR47" i="34"/>
  <c r="AN47" i="34" s="1"/>
  <c r="AW47" i="34"/>
  <c r="AW48" i="34"/>
  <c r="AS48" i="34" s="1"/>
  <c r="AI56" i="34"/>
  <c r="N56" i="34" s="1"/>
  <c r="AX56" i="34"/>
  <c r="AX57" i="34"/>
  <c r="AI63" i="34"/>
  <c r="N63" i="34" s="1"/>
  <c r="AI64" i="34"/>
  <c r="N64" i="34" s="1"/>
  <c r="AP66" i="34"/>
  <c r="AP67" i="34"/>
  <c r="AP68" i="34"/>
  <c r="AI69" i="34"/>
  <c r="N69" i="34" s="1"/>
  <c r="AI70" i="34"/>
  <c r="N70" i="34" s="1"/>
  <c r="AI75" i="34"/>
  <c r="N75" i="34" s="1"/>
  <c r="AX75" i="34"/>
  <c r="AI76" i="34"/>
  <c r="N76" i="34" s="1"/>
  <c r="AI77" i="34"/>
  <c r="N77" i="34" s="1"/>
  <c r="AI81" i="34"/>
  <c r="AI83" i="34"/>
  <c r="N83" i="34" s="1"/>
  <c r="AP101" i="34"/>
  <c r="AP102" i="34"/>
  <c r="AP103" i="34"/>
  <c r="AI106" i="34"/>
  <c r="N106" i="34" s="1"/>
  <c r="AI107" i="34"/>
  <c r="N107" i="34" s="1"/>
  <c r="AR110" i="34"/>
  <c r="AI113" i="34"/>
  <c r="AP117" i="34"/>
  <c r="AP118" i="34"/>
  <c r="AP119" i="34"/>
  <c r="AS144" i="34"/>
  <c r="AS135" i="34" s="1"/>
  <c r="AS134" i="34" s="1"/>
  <c r="AW135" i="34"/>
  <c r="AW134" i="34" s="1"/>
  <c r="AS152" i="34"/>
  <c r="AN177" i="34"/>
  <c r="N184" i="34"/>
  <c r="N183" i="34" s="1"/>
  <c r="AI183" i="34"/>
  <c r="N187" i="34"/>
  <c r="S34" i="34"/>
  <c r="AR56" i="34"/>
  <c r="AN56" i="34" s="1"/>
  <c r="AR57" i="34"/>
  <c r="AN57" i="34" s="1"/>
  <c r="S65" i="34"/>
  <c r="N66" i="34"/>
  <c r="N67" i="34"/>
  <c r="N68" i="34"/>
  <c r="U69" i="34"/>
  <c r="AR69" i="34"/>
  <c r="AR75" i="34"/>
  <c r="AN75" i="34" s="1"/>
  <c r="S99" i="34"/>
  <c r="S100" i="34"/>
  <c r="N101" i="34"/>
  <c r="N102" i="34"/>
  <c r="N103" i="34"/>
  <c r="AR106" i="34"/>
  <c r="S114" i="34"/>
  <c r="S112" i="34" s="1"/>
  <c r="S116" i="34"/>
  <c r="AU116" i="34"/>
  <c r="AS116" i="34" s="1"/>
  <c r="N117" i="34"/>
  <c r="N118" i="34"/>
  <c r="N119" i="34"/>
  <c r="N120" i="34"/>
  <c r="AX133" i="34"/>
  <c r="AX132" i="34" s="1"/>
  <c r="AN133" i="34"/>
  <c r="AN132" i="34" s="1"/>
  <c r="AR132" i="34"/>
  <c r="AD142" i="34"/>
  <c r="AD135" i="34" s="1"/>
  <c r="AS142" i="34"/>
  <c r="AU135" i="34"/>
  <c r="AU134" i="34" s="1"/>
  <c r="AS156" i="34"/>
  <c r="AU149" i="34"/>
  <c r="AU148" i="34" s="1"/>
  <c r="Z149" i="34"/>
  <c r="Z148" i="34" s="1"/>
  <c r="V158" i="34"/>
  <c r="AS182" i="34"/>
  <c r="AS176" i="34" s="1"/>
  <c r="AS175" i="34" s="1"/>
  <c r="AW176" i="34"/>
  <c r="AW175" i="34" s="1"/>
  <c r="AF186" i="34"/>
  <c r="AD188" i="34"/>
  <c r="AS188" i="34"/>
  <c r="AU186" i="34"/>
  <c r="AI128" i="34"/>
  <c r="N128" i="34" s="1"/>
  <c r="AI129" i="34"/>
  <c r="N129" i="34" s="1"/>
  <c r="AI130" i="34"/>
  <c r="N130" i="34" s="1"/>
  <c r="AI131" i="34"/>
  <c r="N131" i="34" s="1"/>
  <c r="AI133" i="34"/>
  <c r="AI136" i="34"/>
  <c r="AI137" i="34"/>
  <c r="N137" i="34" s="1"/>
  <c r="AI139" i="34"/>
  <c r="N139" i="34" s="1"/>
  <c r="AI141" i="34"/>
  <c r="N141" i="34" s="1"/>
  <c r="S144" i="34"/>
  <c r="AR144" i="34"/>
  <c r="AI150" i="34"/>
  <c r="AI152" i="34"/>
  <c r="N152" i="34" s="1"/>
  <c r="AI153" i="34"/>
  <c r="N153" i="34" s="1"/>
  <c r="AI154" i="34"/>
  <c r="N154" i="34" s="1"/>
  <c r="AI158" i="34"/>
  <c r="N158" i="34" s="1"/>
  <c r="AI159" i="34"/>
  <c r="N159" i="34" s="1"/>
  <c r="AI163" i="34"/>
  <c r="N163" i="34" s="1"/>
  <c r="AI165" i="34"/>
  <c r="N165" i="34" s="1"/>
  <c r="AI166" i="34"/>
  <c r="N166" i="34" s="1"/>
  <c r="AI167" i="34"/>
  <c r="N167" i="34" s="1"/>
  <c r="AI169" i="34"/>
  <c r="N169" i="34" s="1"/>
  <c r="AI170" i="34"/>
  <c r="N170" i="34" s="1"/>
  <c r="AI173" i="34"/>
  <c r="N173" i="34" s="1"/>
  <c r="AP178" i="34"/>
  <c r="AP179" i="34"/>
  <c r="AP180" i="34"/>
  <c r="AP181" i="34"/>
  <c r="S182" i="34"/>
  <c r="AR182" i="34"/>
  <c r="S184" i="34"/>
  <c r="AR184" i="34"/>
  <c r="N188" i="34"/>
  <c r="S189" i="34"/>
  <c r="S190" i="34"/>
  <c r="S191" i="34"/>
  <c r="N208" i="34"/>
  <c r="N207" i="34" s="1"/>
  <c r="AI207" i="34"/>
  <c r="N211" i="34"/>
  <c r="AW210" i="34"/>
  <c r="AW209" i="34" s="1"/>
  <c r="AS224" i="34"/>
  <c r="AR128" i="34"/>
  <c r="AR129" i="34"/>
  <c r="U131" i="34"/>
  <c r="AR152" i="34"/>
  <c r="AR153" i="34"/>
  <c r="AR154" i="34"/>
  <c r="AI155" i="34"/>
  <c r="N155" i="34" s="1"/>
  <c r="U158" i="34"/>
  <c r="AR158" i="34"/>
  <c r="AR165" i="34"/>
  <c r="AR166" i="34"/>
  <c r="AR169" i="34"/>
  <c r="AF207" i="34"/>
  <c r="AD208" i="34"/>
  <c r="AD207" i="34" s="1"/>
  <c r="AU207" i="34"/>
  <c r="AU28" i="34" s="1"/>
  <c r="AS208" i="34"/>
  <c r="AS207" i="34" s="1"/>
  <c r="AD238" i="34"/>
  <c r="AF233" i="34"/>
  <c r="AF232" i="34" s="1"/>
  <c r="AD232" i="34" s="1"/>
  <c r="AS245" i="34"/>
  <c r="AP195" i="34"/>
  <c r="AI196" i="34"/>
  <c r="N196" i="34" s="1"/>
  <c r="AI197" i="34"/>
  <c r="N197" i="34" s="1"/>
  <c r="AI198" i="34"/>
  <c r="N198" i="34" s="1"/>
  <c r="AI199" i="34"/>
  <c r="N199" i="34" s="1"/>
  <c r="BC201" i="34"/>
  <c r="S203" i="34"/>
  <c r="S204" i="34"/>
  <c r="S205" i="34"/>
  <c r="U206" i="34"/>
  <c r="AI213" i="34"/>
  <c r="N213" i="34" s="1"/>
  <c r="AI215" i="34"/>
  <c r="N215" i="34" s="1"/>
  <c r="AI217" i="34"/>
  <c r="N217" i="34" s="1"/>
  <c r="AI224" i="34"/>
  <c r="N224" i="34" s="1"/>
  <c r="BK224" i="34"/>
  <c r="BK226" i="34"/>
  <c r="BK228" i="34"/>
  <c r="AI230" i="34"/>
  <c r="N230" i="34" s="1"/>
  <c r="BK230" i="34"/>
  <c r="AI234" i="34"/>
  <c r="AI241" i="34"/>
  <c r="N241" i="34" s="1"/>
  <c r="BK242" i="34"/>
  <c r="BK233" i="34" s="1"/>
  <c r="BK232" i="34" s="1"/>
  <c r="AS269" i="34"/>
  <c r="AW266" i="34"/>
  <c r="N273" i="34"/>
  <c r="AD274" i="34"/>
  <c r="AR224" i="34"/>
  <c r="AR230" i="34"/>
  <c r="S238" i="34"/>
  <c r="AS254" i="34"/>
  <c r="AW247" i="34"/>
  <c r="AW246" i="34" s="1"/>
  <c r="AS278" i="34"/>
  <c r="AU272" i="34"/>
  <c r="AU271" i="34" s="1"/>
  <c r="AI251" i="34"/>
  <c r="AI254" i="34"/>
  <c r="N254" i="34" s="1"/>
  <c r="AI255" i="34"/>
  <c r="N255" i="34" s="1"/>
  <c r="AI261" i="34"/>
  <c r="N261" i="34" s="1"/>
  <c r="AI262" i="34"/>
  <c r="N262" i="34" s="1"/>
  <c r="AI263" i="34"/>
  <c r="N263" i="34" s="1"/>
  <c r="AI267" i="34"/>
  <c r="AI276" i="34"/>
  <c r="N276" i="34" s="1"/>
  <c r="AI277" i="34"/>
  <c r="N277" i="34" s="1"/>
  <c r="AI279" i="34"/>
  <c r="N279" i="34" s="1"/>
  <c r="S248" i="34"/>
  <c r="S247" i="34" s="1"/>
  <c r="S246" i="34" s="1"/>
  <c r="AR254" i="34"/>
  <c r="AR261" i="34"/>
  <c r="AR262" i="34"/>
  <c r="AR263" i="34"/>
  <c r="AR269" i="34"/>
  <c r="N270" i="34"/>
  <c r="BC270" i="34"/>
  <c r="S278" i="34"/>
  <c r="AN280" i="34"/>
  <c r="AN281" i="34"/>
  <c r="AN282" i="34"/>
  <c r="AI283" i="34"/>
  <c r="N283" i="34" s="1"/>
  <c r="AI284" i="34"/>
  <c r="N284" i="34" s="1"/>
  <c r="AI285" i="34"/>
  <c r="N285" i="34" s="1"/>
  <c r="AI302" i="34"/>
  <c r="N302" i="34" s="1"/>
  <c r="N303" i="34"/>
  <c r="AP303" i="34"/>
  <c r="S304" i="34"/>
  <c r="N309" i="34"/>
  <c r="U309" i="34"/>
  <c r="S286" i="34"/>
  <c r="AI311" i="34"/>
  <c r="N311" i="34" s="1"/>
  <c r="AI312" i="34"/>
  <c r="N312" i="34" s="1"/>
  <c r="AI316" i="34"/>
  <c r="N316" i="34" s="1"/>
  <c r="AI318" i="34"/>
  <c r="N318" i="34" s="1"/>
  <c r="AP322" i="34"/>
  <c r="AP321" i="34" s="1"/>
  <c r="AP320" i="34" s="1"/>
  <c r="AX324" i="34"/>
  <c r="AR311" i="34"/>
  <c r="AR312" i="34"/>
  <c r="AR313" i="34"/>
  <c r="S322" i="34"/>
  <c r="AR322" i="34"/>
  <c r="S323" i="34"/>
  <c r="V323" i="34"/>
  <c r="V321" i="34" s="1"/>
  <c r="V320" i="34" s="1"/>
  <c r="AA60" i="32"/>
  <c r="AB60" i="32"/>
  <c r="AA111" i="32"/>
  <c r="AB27" i="32"/>
  <c r="AB29" i="32"/>
  <c r="N177" i="34" l="1"/>
  <c r="N176" i="34" s="1"/>
  <c r="N175" i="34" s="1"/>
  <c r="S274" i="34"/>
  <c r="AS272" i="34"/>
  <c r="AS271" i="34" s="1"/>
  <c r="AD272" i="34"/>
  <c r="AS233" i="34"/>
  <c r="AS232" i="34" s="1"/>
  <c r="AD186" i="34"/>
  <c r="S111" i="34"/>
  <c r="AD112" i="34"/>
  <c r="AD111" i="34" s="1"/>
  <c r="AD97" i="34"/>
  <c r="AD96" i="34" s="1"/>
  <c r="AP233" i="34"/>
  <c r="AP232" i="34" s="1"/>
  <c r="S210" i="34"/>
  <c r="S209" i="34" s="1"/>
  <c r="BE246" i="34"/>
  <c r="BC246" i="34" s="1"/>
  <c r="AP286" i="34"/>
  <c r="BC272" i="34"/>
  <c r="BE271" i="34"/>
  <c r="BC271" i="34" s="1"/>
  <c r="AX251" i="34"/>
  <c r="AN251" i="34"/>
  <c r="AC233" i="34"/>
  <c r="AC232" i="34" s="1"/>
  <c r="AE185" i="34"/>
  <c r="AX171" i="34"/>
  <c r="AN171" i="34"/>
  <c r="AX161" i="34"/>
  <c r="AN161" i="34"/>
  <c r="AX157" i="34"/>
  <c r="AN157" i="34"/>
  <c r="AX142" i="34"/>
  <c r="AN142" i="34"/>
  <c r="AX100" i="34"/>
  <c r="AN100" i="34"/>
  <c r="X175" i="34"/>
  <c r="AS157" i="34"/>
  <c r="AD177" i="34"/>
  <c r="AD176" i="34" s="1"/>
  <c r="AD175" i="34" s="1"/>
  <c r="AF176" i="34"/>
  <c r="AF175" i="34" s="1"/>
  <c r="AP100" i="34"/>
  <c r="AP97" i="34" s="1"/>
  <c r="AP96" i="34" s="1"/>
  <c r="AS123" i="34"/>
  <c r="AP34" i="34"/>
  <c r="W27" i="34"/>
  <c r="AV28" i="34"/>
  <c r="AX63" i="34"/>
  <c r="AN63" i="34"/>
  <c r="AS149" i="34"/>
  <c r="AS148" i="34" s="1"/>
  <c r="AX309" i="34"/>
  <c r="AN309" i="34"/>
  <c r="AI194" i="34"/>
  <c r="N194" i="34" s="1"/>
  <c r="N186" i="34" s="1"/>
  <c r="N185" i="34" s="1"/>
  <c r="S194" i="34"/>
  <c r="Y27" i="34"/>
  <c r="Y60" i="34"/>
  <c r="Y26" i="34" s="1"/>
  <c r="AX188" i="34"/>
  <c r="AX186" i="34" s="1"/>
  <c r="AX185" i="34" s="1"/>
  <c r="AR186" i="34"/>
  <c r="AP142" i="34"/>
  <c r="AI31" i="34"/>
  <c r="AC30" i="34"/>
  <c r="S31" i="34"/>
  <c r="S30" i="34" s="1"/>
  <c r="S29" i="34" s="1"/>
  <c r="AI98" i="34"/>
  <c r="N98" i="34" s="1"/>
  <c r="N97" i="34" s="1"/>
  <c r="N96" i="34" s="1"/>
  <c r="AC97" i="34"/>
  <c r="AC96" i="34" s="1"/>
  <c r="AE28" i="34"/>
  <c r="AD233" i="34"/>
  <c r="AU97" i="34"/>
  <c r="AU96" i="34" s="1"/>
  <c r="BF175" i="34"/>
  <c r="V112" i="34"/>
  <c r="V111" i="34" s="1"/>
  <c r="AP247" i="34"/>
  <c r="S275" i="34"/>
  <c r="AI275" i="34"/>
  <c r="N275" i="34" s="1"/>
  <c r="AS251" i="34"/>
  <c r="AS247" i="34" s="1"/>
  <c r="AS246" i="34" s="1"/>
  <c r="AU247" i="34"/>
  <c r="AU246" i="34" s="1"/>
  <c r="AX236" i="34"/>
  <c r="AX233" i="34" s="1"/>
  <c r="AX232" i="34" s="1"/>
  <c r="AN236" i="34"/>
  <c r="BC176" i="34"/>
  <c r="BE175" i="34"/>
  <c r="BC175" i="34" s="1"/>
  <c r="AX159" i="34"/>
  <c r="AN159" i="34"/>
  <c r="AP135" i="34"/>
  <c r="AP134" i="34" s="1"/>
  <c r="AX122" i="34"/>
  <c r="AN122" i="34"/>
  <c r="BC135" i="34"/>
  <c r="BE134" i="34"/>
  <c r="BC134" i="34" s="1"/>
  <c r="BE27" i="34"/>
  <c r="BE29" i="34"/>
  <c r="I27" i="34"/>
  <c r="BG27" i="34"/>
  <c r="AP98" i="34"/>
  <c r="X29" i="34"/>
  <c r="X135" i="34"/>
  <c r="X134" i="34" s="1"/>
  <c r="BH60" i="34"/>
  <c r="AX95" i="34"/>
  <c r="AX91" i="34" s="1"/>
  <c r="AN95" i="34"/>
  <c r="AN91" i="34" s="1"/>
  <c r="AN28" i="34" s="1"/>
  <c r="AP31" i="34"/>
  <c r="AP30" i="34" s="1"/>
  <c r="BJ26" i="34"/>
  <c r="AI274" i="34"/>
  <c r="N274" i="34" s="1"/>
  <c r="AC272" i="34"/>
  <c r="AC271" i="34" s="1"/>
  <c r="AI240" i="34"/>
  <c r="N240" i="34" s="1"/>
  <c r="S240" i="34"/>
  <c r="AI142" i="34"/>
  <c r="N142" i="34" s="1"/>
  <c r="S142" i="34"/>
  <c r="S135" i="34" s="1"/>
  <c r="S134" i="34" s="1"/>
  <c r="BC112" i="34"/>
  <c r="BE111" i="34"/>
  <c r="BC111" i="34" s="1"/>
  <c r="AI177" i="34"/>
  <c r="AI176" i="34" s="1"/>
  <c r="AI175" i="34" s="1"/>
  <c r="AC176" i="34"/>
  <c r="AC175" i="34" s="1"/>
  <c r="S177" i="34"/>
  <c r="S176" i="34" s="1"/>
  <c r="S175" i="34" s="1"/>
  <c r="AX104" i="34"/>
  <c r="AN104" i="34"/>
  <c r="BH26" i="34"/>
  <c r="AR41" i="34"/>
  <c r="AR40" i="34" s="1"/>
  <c r="AT40" i="34"/>
  <c r="AT26" i="34" s="1"/>
  <c r="N195" i="34"/>
  <c r="V149" i="34"/>
  <c r="V148" i="34" s="1"/>
  <c r="S61" i="34"/>
  <c r="S60" i="34" s="1"/>
  <c r="AU60" i="34"/>
  <c r="V61" i="34"/>
  <c r="N31" i="34"/>
  <c r="AD210" i="34"/>
  <c r="AD209" i="34" s="1"/>
  <c r="BF149" i="34"/>
  <c r="BF148" i="34" s="1"/>
  <c r="S233" i="34"/>
  <c r="S232" i="34" s="1"/>
  <c r="AF272" i="34"/>
  <c r="AF271" i="34" s="1"/>
  <c r="AD271" i="34" s="1"/>
  <c r="AS266" i="34"/>
  <c r="AU233" i="34"/>
  <c r="AU232" i="34" s="1"/>
  <c r="AF28" i="34"/>
  <c r="AS186" i="34"/>
  <c r="S98" i="34"/>
  <c r="BF272" i="34"/>
  <c r="BF271" i="34" s="1"/>
  <c r="AD247" i="34"/>
  <c r="V210" i="34"/>
  <c r="V209" i="34" s="1"/>
  <c r="BF247" i="34"/>
  <c r="BF246" i="34" s="1"/>
  <c r="AX264" i="34"/>
  <c r="AN264" i="34"/>
  <c r="AX227" i="34"/>
  <c r="AN227" i="34"/>
  <c r="BC210" i="34"/>
  <c r="BC209" i="34" s="1"/>
  <c r="BE209" i="34"/>
  <c r="AC186" i="34"/>
  <c r="AC185" i="34" s="1"/>
  <c r="AX228" i="34"/>
  <c r="AN228" i="34"/>
  <c r="AX204" i="34"/>
  <c r="AN204" i="34"/>
  <c r="AN186" i="34" s="1"/>
  <c r="AN185" i="34" s="1"/>
  <c r="AP191" i="34"/>
  <c r="BC149" i="34"/>
  <c r="BE148" i="34"/>
  <c r="BC148" i="34" s="1"/>
  <c r="AP91" i="34"/>
  <c r="AI44" i="34"/>
  <c r="N44" i="34" s="1"/>
  <c r="S44" i="34"/>
  <c r="BC186" i="34"/>
  <c r="BE185" i="34"/>
  <c r="BC185" i="34" s="1"/>
  <c r="BC26" i="34" s="1"/>
  <c r="S132" i="34"/>
  <c r="S28" i="34" s="1"/>
  <c r="AC28" i="34"/>
  <c r="AP194" i="34"/>
  <c r="V91" i="34"/>
  <c r="V28" i="34" s="1"/>
  <c r="BC61" i="34"/>
  <c r="BC27" i="34" s="1"/>
  <c r="BE60" i="34"/>
  <c r="BC60" i="34" s="1"/>
  <c r="AC135" i="34"/>
  <c r="AC134" i="34" s="1"/>
  <c r="AV40" i="34"/>
  <c r="AV26" i="34" s="1"/>
  <c r="AV27" i="34"/>
  <c r="AE29" i="34"/>
  <c r="AE26" i="34" s="1"/>
  <c r="AE27" i="34"/>
  <c r="AX34" i="34"/>
  <c r="AX30" i="34" s="1"/>
  <c r="AX29" i="34" s="1"/>
  <c r="AR30" i="34"/>
  <c r="AR29" i="34" s="1"/>
  <c r="AX160" i="34"/>
  <c r="AN160" i="34"/>
  <c r="AX73" i="34"/>
  <c r="AN73" i="34"/>
  <c r="AX208" i="34"/>
  <c r="AX207" i="34" s="1"/>
  <c r="AN208" i="34"/>
  <c r="AN207" i="34" s="1"/>
  <c r="AR207" i="34"/>
  <c r="BE28" i="34"/>
  <c r="AR91" i="34"/>
  <c r="BH27" i="34"/>
  <c r="AB26" i="32"/>
  <c r="AP176" i="34"/>
  <c r="AP175" i="34" s="1"/>
  <c r="AP266" i="34"/>
  <c r="AN233" i="34"/>
  <c r="AN232" i="34" s="1"/>
  <c r="BF28" i="34"/>
  <c r="AN30" i="34"/>
  <c r="AN29" i="34" s="1"/>
  <c r="BK210" i="34"/>
  <c r="BK27" i="34" s="1"/>
  <c r="AX41" i="34"/>
  <c r="AX40" i="34" s="1"/>
  <c r="S41" i="34"/>
  <c r="AD266" i="34"/>
  <c r="AD246" i="34" s="1"/>
  <c r="V246" i="34"/>
  <c r="BF186" i="34"/>
  <c r="BF185" i="34" s="1"/>
  <c r="V135" i="34"/>
  <c r="V134" i="34" s="1"/>
  <c r="BK209" i="34"/>
  <c r="BK26" i="34" s="1"/>
  <c r="S321" i="34"/>
  <c r="S320" i="34" s="1"/>
  <c r="AN312" i="34"/>
  <c r="AX312" i="34"/>
  <c r="AP309" i="34"/>
  <c r="AP272" i="34" s="1"/>
  <c r="AP271" i="34" s="1"/>
  <c r="U272" i="34"/>
  <c r="U271" i="34" s="1"/>
  <c r="AN269" i="34"/>
  <c r="AN266" i="34" s="1"/>
  <c r="AR266" i="34"/>
  <c r="AN262" i="34"/>
  <c r="AX262" i="34"/>
  <c r="AN254" i="34"/>
  <c r="AR247" i="34"/>
  <c r="AR246" i="34" s="1"/>
  <c r="AX254" i="34"/>
  <c r="AN230" i="34"/>
  <c r="AX230" i="34"/>
  <c r="AI272" i="34"/>
  <c r="AI271" i="34" s="1"/>
  <c r="N234" i="34"/>
  <c r="N233" i="34" s="1"/>
  <c r="N232" i="34" s="1"/>
  <c r="AI233" i="34"/>
  <c r="AI232" i="34" s="1"/>
  <c r="AP206" i="34"/>
  <c r="AP186" i="34" s="1"/>
  <c r="AP185" i="34" s="1"/>
  <c r="U186" i="34"/>
  <c r="U185" i="34" s="1"/>
  <c r="AN166" i="34"/>
  <c r="AX166" i="34"/>
  <c r="AN158" i="34"/>
  <c r="AX158" i="34"/>
  <c r="AN153" i="34"/>
  <c r="AX153" i="34"/>
  <c r="AP131" i="34"/>
  <c r="AP112" i="34" s="1"/>
  <c r="AP111" i="34" s="1"/>
  <c r="U112" i="34"/>
  <c r="U111" i="34" s="1"/>
  <c r="AN128" i="34"/>
  <c r="AX128" i="34"/>
  <c r="AR112" i="34"/>
  <c r="AR111" i="34" s="1"/>
  <c r="N210" i="34"/>
  <c r="N209" i="34" s="1"/>
  <c r="S186" i="34"/>
  <c r="S185" i="34" s="1"/>
  <c r="AX184" i="34"/>
  <c r="AX183" i="34" s="1"/>
  <c r="AN184" i="34"/>
  <c r="AN183" i="34" s="1"/>
  <c r="AR183" i="34"/>
  <c r="AX182" i="34"/>
  <c r="AX176" i="34" s="1"/>
  <c r="AN182" i="34"/>
  <c r="N150" i="34"/>
  <c r="N149" i="34" s="1"/>
  <c r="N148" i="34" s="1"/>
  <c r="AI149" i="34"/>
  <c r="AI148" i="34" s="1"/>
  <c r="N136" i="34"/>
  <c r="N135" i="34" s="1"/>
  <c r="N134" i="34" s="1"/>
  <c r="AI135" i="34"/>
  <c r="AI134" i="34" s="1"/>
  <c r="AU185" i="34"/>
  <c r="AD185" i="34"/>
  <c r="AN106" i="34"/>
  <c r="AR97" i="34"/>
  <c r="AR96" i="34" s="1"/>
  <c r="AX106" i="34"/>
  <c r="S97" i="34"/>
  <c r="S96" i="34" s="1"/>
  <c r="AN69" i="34"/>
  <c r="AN61" i="34" s="1"/>
  <c r="AX69" i="34"/>
  <c r="AX61" i="34" s="1"/>
  <c r="AR61" i="34"/>
  <c r="AN176" i="34"/>
  <c r="AI112" i="34"/>
  <c r="N113" i="34"/>
  <c r="N112" i="34" s="1"/>
  <c r="M81" i="34"/>
  <c r="N81" i="34"/>
  <c r="N61" i="34" s="1"/>
  <c r="AS47" i="34"/>
  <c r="AS41" i="34" s="1"/>
  <c r="AS40" i="34" s="1"/>
  <c r="AW41" i="34"/>
  <c r="AI97" i="34"/>
  <c r="AI96" i="34" s="1"/>
  <c r="AS61" i="34"/>
  <c r="AS60" i="34" s="1"/>
  <c r="AS30" i="34"/>
  <c r="AF29" i="34"/>
  <c r="AF27" i="34"/>
  <c r="AU112" i="34"/>
  <c r="AU111" i="34" s="1"/>
  <c r="M91" i="34"/>
  <c r="M28" i="34" s="1"/>
  <c r="M61" i="34"/>
  <c r="Z60" i="34"/>
  <c r="Z26" i="34" s="1"/>
  <c r="Z27" i="34"/>
  <c r="AW28" i="34"/>
  <c r="N30" i="34"/>
  <c r="AN322" i="34"/>
  <c r="AN321" i="34" s="1"/>
  <c r="AN320" i="34" s="1"/>
  <c r="AX322" i="34"/>
  <c r="AX321" i="34" s="1"/>
  <c r="AX320" i="34" s="1"/>
  <c r="AR321" i="34"/>
  <c r="AR320" i="34" s="1"/>
  <c r="AN313" i="34"/>
  <c r="AX313" i="34"/>
  <c r="AN311" i="34"/>
  <c r="AX311" i="34"/>
  <c r="AR272" i="34"/>
  <c r="AR271" i="34" s="1"/>
  <c r="S272" i="34"/>
  <c r="S271" i="34" s="1"/>
  <c r="AN263" i="34"/>
  <c r="AX263" i="34"/>
  <c r="AN261" i="34"/>
  <c r="AX261" i="34"/>
  <c r="N267" i="34"/>
  <c r="N266" i="34" s="1"/>
  <c r="AI266" i="34"/>
  <c r="N251" i="34"/>
  <c r="N247" i="34" s="1"/>
  <c r="N246" i="34" s="1"/>
  <c r="AI247" i="34"/>
  <c r="AI246" i="34" s="1"/>
  <c r="AN224" i="34"/>
  <c r="AN210" i="34" s="1"/>
  <c r="AN209" i="34" s="1"/>
  <c r="AX224" i="34"/>
  <c r="AX210" i="34" s="1"/>
  <c r="AX209" i="34" s="1"/>
  <c r="AR210" i="34"/>
  <c r="AR209" i="34" s="1"/>
  <c r="N272" i="34"/>
  <c r="N271" i="34" s="1"/>
  <c r="AN169" i="34"/>
  <c r="AX169" i="34"/>
  <c r="AN165" i="34"/>
  <c r="AX165" i="34"/>
  <c r="AP158" i="34"/>
  <c r="AP149" i="34" s="1"/>
  <c r="AP148" i="34" s="1"/>
  <c r="U149" i="34"/>
  <c r="U148" i="34" s="1"/>
  <c r="AN154" i="34"/>
  <c r="AX154" i="34"/>
  <c r="AN152" i="34"/>
  <c r="AR149" i="34"/>
  <c r="AR148" i="34" s="1"/>
  <c r="AX152" i="34"/>
  <c r="AN129" i="34"/>
  <c r="AX129" i="34"/>
  <c r="AI210" i="34"/>
  <c r="AI209" i="34" s="1"/>
  <c r="AX144" i="34"/>
  <c r="AX135" i="34" s="1"/>
  <c r="AX134" i="34" s="1"/>
  <c r="AR135" i="34"/>
  <c r="AR134" i="34" s="1"/>
  <c r="AN144" i="34"/>
  <c r="AN135" i="34" s="1"/>
  <c r="AN134" i="34" s="1"/>
  <c r="AI132" i="34"/>
  <c r="AI28" i="34" s="1"/>
  <c r="N133" i="34"/>
  <c r="N132" i="34" s="1"/>
  <c r="AS185" i="34"/>
  <c r="AF185" i="34"/>
  <c r="AR28" i="34"/>
  <c r="U61" i="34"/>
  <c r="AP69" i="34"/>
  <c r="AP61" i="34" s="1"/>
  <c r="AR176" i="34"/>
  <c r="AR175" i="34" s="1"/>
  <c r="AX110" i="34"/>
  <c r="AN110" i="34"/>
  <c r="AN41" i="34"/>
  <c r="N91" i="34"/>
  <c r="AI61" i="34"/>
  <c r="AI60" i="34" s="1"/>
  <c r="AI41" i="34"/>
  <c r="AU30" i="34"/>
  <c r="AS112" i="34"/>
  <c r="AS111" i="34" s="1"/>
  <c r="AS28" i="34"/>
  <c r="AF40" i="34"/>
  <c r="AD40" i="34" s="1"/>
  <c r="AD41" i="34"/>
  <c r="AD27" i="34" s="1"/>
  <c r="V29" i="34"/>
  <c r="AI30" i="34"/>
  <c r="AP29" i="34"/>
  <c r="BF26" i="34" l="1"/>
  <c r="BF27" i="34"/>
  <c r="AX149" i="34"/>
  <c r="AX148" i="34" s="1"/>
  <c r="AD28" i="34"/>
  <c r="AI186" i="34"/>
  <c r="AI185" i="34" s="1"/>
  <c r="V60" i="34"/>
  <c r="AR185" i="34"/>
  <c r="AX60" i="34"/>
  <c r="AC27" i="34"/>
  <c r="AC29" i="34"/>
  <c r="AC26" i="34" s="1"/>
  <c r="AN175" i="34"/>
  <c r="X26" i="34"/>
  <c r="V27" i="34"/>
  <c r="AN149" i="34"/>
  <c r="AN148" i="34" s="1"/>
  <c r="AX272" i="34"/>
  <c r="AX271" i="34" s="1"/>
  <c r="AN60" i="34"/>
  <c r="AX28" i="34"/>
  <c r="V26" i="34"/>
  <c r="AN272" i="34"/>
  <c r="AN271" i="34" s="1"/>
  <c r="X27" i="34"/>
  <c r="BE26" i="34"/>
  <c r="N28" i="34"/>
  <c r="N60" i="34"/>
  <c r="AP246" i="34"/>
  <c r="AP28" i="34"/>
  <c r="AP60" i="34"/>
  <c r="AP26" i="34" s="1"/>
  <c r="AP27" i="34"/>
  <c r="N41" i="34"/>
  <c r="N40" i="34" s="1"/>
  <c r="AI40" i="34"/>
  <c r="U27" i="34"/>
  <c r="U60" i="34"/>
  <c r="U26" i="34" s="1"/>
  <c r="N29" i="34"/>
  <c r="N27" i="34"/>
  <c r="AS27" i="34"/>
  <c r="AS29" i="34"/>
  <c r="AS26" i="34" s="1"/>
  <c r="AW27" i="34"/>
  <c r="AW40" i="34"/>
  <c r="AW26" i="34" s="1"/>
  <c r="N111" i="34"/>
  <c r="AR60" i="34"/>
  <c r="AR27" i="34"/>
  <c r="AX97" i="34"/>
  <c r="AN97" i="34"/>
  <c r="AN96" i="34" s="1"/>
  <c r="AX112" i="34"/>
  <c r="AX111" i="34" s="1"/>
  <c r="S27" i="34"/>
  <c r="AI27" i="34"/>
  <c r="AI29" i="34"/>
  <c r="AU27" i="34"/>
  <c r="AU29" i="34"/>
  <c r="AU26" i="34" s="1"/>
  <c r="AN40" i="34"/>
  <c r="M27" i="34"/>
  <c r="M60" i="34"/>
  <c r="M26" i="34" s="1"/>
  <c r="AD29" i="34"/>
  <c r="AD26" i="34" s="1"/>
  <c r="AF26" i="34"/>
  <c r="AI111" i="34"/>
  <c r="AX175" i="34"/>
  <c r="AN112" i="34"/>
  <c r="AN111" i="34" s="1"/>
  <c r="AX247" i="34"/>
  <c r="AX246" i="34" s="1"/>
  <c r="AN247" i="34"/>
  <c r="AN246" i="34" s="1"/>
  <c r="S26" i="34"/>
  <c r="AR26" i="34" l="1"/>
  <c r="AN26" i="34"/>
  <c r="AX96" i="34"/>
  <c r="AX26" i="34" s="1"/>
  <c r="AX27" i="34"/>
  <c r="N26" i="34"/>
  <c r="AN27" i="34"/>
  <c r="AI26" i="34"/>
  <c r="AC248" i="32" l="1"/>
  <c r="AE191" i="32" l="1"/>
  <c r="AE100" i="32"/>
  <c r="AE34" i="32" l="1"/>
  <c r="AE300" i="32"/>
  <c r="AE286" i="32"/>
  <c r="AE278" i="32"/>
  <c r="AE275" i="32"/>
  <c r="AE274" i="32"/>
  <c r="AE249" i="32"/>
  <c r="AE237" i="32"/>
  <c r="AE240" i="32"/>
  <c r="AE239" i="32"/>
  <c r="AE238" i="32"/>
  <c r="AE235" i="32"/>
  <c r="AE236" i="32"/>
  <c r="AE218" i="32"/>
  <c r="AE208" i="32"/>
  <c r="AE189" i="32"/>
  <c r="AE194" i="32"/>
  <c r="AE177" i="32"/>
  <c r="AE114" i="32"/>
  <c r="AE62" i="32"/>
  <c r="AE61" i="32" s="1"/>
  <c r="AE99" i="32"/>
  <c r="AE98" i="32"/>
  <c r="AE65" i="32"/>
  <c r="AE44" i="32"/>
  <c r="AE43" i="32"/>
  <c r="W30" i="32" l="1"/>
  <c r="Y30" i="32"/>
  <c r="W41" i="32"/>
  <c r="Y41" i="32"/>
  <c r="W58" i="32"/>
  <c r="Y58" i="32"/>
  <c r="W61" i="32"/>
  <c r="W91" i="32"/>
  <c r="Y91" i="32"/>
  <c r="W97" i="32"/>
  <c r="W96" i="32" s="1"/>
  <c r="Y97" i="32"/>
  <c r="Y96" i="32" s="1"/>
  <c r="W112" i="32"/>
  <c r="W132" i="32"/>
  <c r="Y132" i="32"/>
  <c r="Y135" i="32"/>
  <c r="Y134" i="32" s="1"/>
  <c r="W149" i="32"/>
  <c r="W148" i="32" s="1"/>
  <c r="W176" i="32"/>
  <c r="Y176" i="32"/>
  <c r="W183" i="32"/>
  <c r="Y183" i="32"/>
  <c r="W207" i="32"/>
  <c r="Y207" i="32"/>
  <c r="W210" i="32"/>
  <c r="W209" i="32" s="1"/>
  <c r="Y210" i="32"/>
  <c r="Y209" i="32" s="1"/>
  <c r="W233" i="32"/>
  <c r="W232" i="32" s="1"/>
  <c r="Y233" i="32"/>
  <c r="Y232" i="32" s="1"/>
  <c r="W247" i="32"/>
  <c r="W266" i="32"/>
  <c r="Y266" i="32"/>
  <c r="W272" i="32"/>
  <c r="W271" i="32" s="1"/>
  <c r="W321" i="32"/>
  <c r="W320" i="32" s="1"/>
  <c r="Y321" i="32"/>
  <c r="Y320" i="32" s="1"/>
  <c r="Y28" i="32" l="1"/>
  <c r="W28" i="32"/>
  <c r="W246" i="32"/>
  <c r="W111" i="32"/>
  <c r="W60" i="32"/>
  <c r="Y175" i="32"/>
  <c r="W175" i="32"/>
  <c r="Y40" i="32"/>
  <c r="W40" i="32"/>
  <c r="Y29" i="32"/>
  <c r="W29" i="32"/>
  <c r="AJ321" i="32"/>
  <c r="AJ320" i="32" s="1"/>
  <c r="AK321" i="32"/>
  <c r="AK320" i="32" s="1"/>
  <c r="AL321" i="32"/>
  <c r="AL320" i="32" s="1"/>
  <c r="AM321" i="32"/>
  <c r="AM320" i="32" s="1"/>
  <c r="AO321" i="32"/>
  <c r="AO320" i="32" s="1"/>
  <c r="AQ321" i="32"/>
  <c r="AQ320" i="32" s="1"/>
  <c r="U323" i="32"/>
  <c r="V323" i="32" s="1"/>
  <c r="Z322" i="32"/>
  <c r="Z321" i="32" s="1"/>
  <c r="Z320" i="32" s="1"/>
  <c r="X322" i="32"/>
  <c r="X321" i="32" s="1"/>
  <c r="X320" i="32" s="1"/>
  <c r="U322" i="32"/>
  <c r="AJ272" i="32"/>
  <c r="AJ271" i="32" s="1"/>
  <c r="AK272" i="32"/>
  <c r="AK271" i="32" s="1"/>
  <c r="AL272" i="32"/>
  <c r="AL271" i="32" s="1"/>
  <c r="AM272" i="32"/>
  <c r="AM271" i="32" s="1"/>
  <c r="AO272" i="32"/>
  <c r="AO271" i="32" s="1"/>
  <c r="AQ272" i="32"/>
  <c r="AQ271" i="32" s="1"/>
  <c r="Z319" i="32"/>
  <c r="X319" i="32"/>
  <c r="U319" i="32"/>
  <c r="Z318" i="32"/>
  <c r="X318" i="32"/>
  <c r="U318" i="32"/>
  <c r="Z317" i="32"/>
  <c r="X317" i="32"/>
  <c r="U317" i="32"/>
  <c r="Z316" i="32"/>
  <c r="X316" i="32"/>
  <c r="U316" i="32"/>
  <c r="Z315" i="32"/>
  <c r="X315" i="32"/>
  <c r="U315" i="32"/>
  <c r="Z314" i="32"/>
  <c r="X314" i="32"/>
  <c r="U314" i="32"/>
  <c r="Z313" i="32"/>
  <c r="X313" i="32"/>
  <c r="U313" i="32"/>
  <c r="Z312" i="32"/>
  <c r="X312" i="32"/>
  <c r="U312" i="32"/>
  <c r="Z311" i="32"/>
  <c r="X311" i="32"/>
  <c r="U311" i="32"/>
  <c r="Z310" i="32"/>
  <c r="X310" i="32"/>
  <c r="U310" i="32"/>
  <c r="Y309" i="32"/>
  <c r="Z309" i="32" s="1"/>
  <c r="X309" i="32"/>
  <c r="Z308" i="32"/>
  <c r="X308" i="32"/>
  <c r="U308" i="32"/>
  <c r="Z307" i="32"/>
  <c r="X307" i="32"/>
  <c r="U307" i="32"/>
  <c r="Y306" i="32"/>
  <c r="U306" i="32" s="1"/>
  <c r="X306" i="32"/>
  <c r="Z305" i="32"/>
  <c r="X305" i="32"/>
  <c r="U305" i="32"/>
  <c r="Z304" i="32"/>
  <c r="X304" i="32"/>
  <c r="U304" i="32"/>
  <c r="Z301" i="32"/>
  <c r="X301" i="32"/>
  <c r="U301" i="32"/>
  <c r="Z300" i="32"/>
  <c r="X300" i="32"/>
  <c r="U300" i="32"/>
  <c r="Z299" i="32"/>
  <c r="X299" i="32"/>
  <c r="U299" i="32"/>
  <c r="Z298" i="32"/>
  <c r="X298" i="32"/>
  <c r="U298" i="32"/>
  <c r="Z297" i="32"/>
  <c r="X297" i="32"/>
  <c r="U297" i="32"/>
  <c r="Z296" i="32"/>
  <c r="X296" i="32"/>
  <c r="U296" i="32"/>
  <c r="Z295" i="32"/>
  <c r="X295" i="32"/>
  <c r="U295" i="32"/>
  <c r="Z294" i="32"/>
  <c r="X294" i="32"/>
  <c r="U294" i="32"/>
  <c r="Z293" i="32"/>
  <c r="X293" i="32"/>
  <c r="U293" i="32"/>
  <c r="Z292" i="32"/>
  <c r="X292" i="32"/>
  <c r="U292" i="32"/>
  <c r="Z291" i="32"/>
  <c r="X291" i="32"/>
  <c r="U291" i="32"/>
  <c r="Z290" i="32"/>
  <c r="X290" i="32"/>
  <c r="U290" i="32"/>
  <c r="Z289" i="32"/>
  <c r="X289" i="32"/>
  <c r="U289" i="32"/>
  <c r="Z288" i="32"/>
  <c r="X288" i="32"/>
  <c r="U288" i="32"/>
  <c r="Z287" i="32"/>
  <c r="X287" i="32"/>
  <c r="U287" i="32"/>
  <c r="Z286" i="32"/>
  <c r="X286" i="32"/>
  <c r="U286" i="32"/>
  <c r="Z285" i="32"/>
  <c r="X285" i="32"/>
  <c r="U285" i="32"/>
  <c r="Z284" i="32"/>
  <c r="X284" i="32"/>
  <c r="U284" i="32"/>
  <c r="Z283" i="32"/>
  <c r="X283" i="32"/>
  <c r="U283" i="32"/>
  <c r="Z282" i="32"/>
  <c r="X282" i="32"/>
  <c r="U282" i="32"/>
  <c r="Z281" i="32"/>
  <c r="X281" i="32"/>
  <c r="U281" i="32"/>
  <c r="Z280" i="32"/>
  <c r="X280" i="32"/>
  <c r="U280" i="32"/>
  <c r="Z279" i="32"/>
  <c r="X279" i="32"/>
  <c r="U279" i="32"/>
  <c r="Z278" i="32"/>
  <c r="X278" i="32"/>
  <c r="U278" i="32"/>
  <c r="Z277" i="32"/>
  <c r="X277" i="32"/>
  <c r="U277" i="32"/>
  <c r="Z276" i="32"/>
  <c r="X276" i="32"/>
  <c r="U276" i="32"/>
  <c r="Z275" i="32"/>
  <c r="X275" i="32"/>
  <c r="U275" i="32"/>
  <c r="Z274" i="32"/>
  <c r="X274" i="32"/>
  <c r="U274" i="32"/>
  <c r="Z273" i="32"/>
  <c r="X273" i="32"/>
  <c r="U273" i="32"/>
  <c r="AJ247" i="32"/>
  <c r="AK247" i="32"/>
  <c r="AL247" i="32"/>
  <c r="AM247" i="32"/>
  <c r="AO247" i="32"/>
  <c r="AQ247" i="32"/>
  <c r="AJ266" i="32"/>
  <c r="AK266" i="32"/>
  <c r="AL266" i="32"/>
  <c r="AM266" i="32"/>
  <c r="AO266" i="32"/>
  <c r="AQ266" i="32"/>
  <c r="Z270" i="32"/>
  <c r="V270" i="32" s="1"/>
  <c r="U270" i="32"/>
  <c r="Z269" i="32"/>
  <c r="X269" i="32"/>
  <c r="U269" i="32"/>
  <c r="Z268" i="32"/>
  <c r="X268" i="32"/>
  <c r="U268" i="32"/>
  <c r="Z267" i="32"/>
  <c r="X267" i="32"/>
  <c r="U267" i="32"/>
  <c r="Z265" i="32"/>
  <c r="X265" i="32"/>
  <c r="U265" i="32"/>
  <c r="Z264" i="32"/>
  <c r="X264" i="32"/>
  <c r="U264" i="32"/>
  <c r="Z263" i="32"/>
  <c r="X263" i="32"/>
  <c r="U263" i="32"/>
  <c r="Z262" i="32"/>
  <c r="X262" i="32"/>
  <c r="U262" i="32"/>
  <c r="Z261" i="32"/>
  <c r="X261" i="32"/>
  <c r="U261" i="32"/>
  <c r="Z260" i="32"/>
  <c r="X260" i="32"/>
  <c r="U260" i="32"/>
  <c r="Z259" i="32"/>
  <c r="X259" i="32"/>
  <c r="U259" i="32"/>
  <c r="Z258" i="32"/>
  <c r="X258" i="32"/>
  <c r="U258" i="32"/>
  <c r="Z257" i="32"/>
  <c r="X257" i="32"/>
  <c r="U257" i="32"/>
  <c r="Z256" i="32"/>
  <c r="X256" i="32"/>
  <c r="U256" i="32"/>
  <c r="Z255" i="32"/>
  <c r="X255" i="32"/>
  <c r="U255" i="32"/>
  <c r="Z254" i="32"/>
  <c r="X254" i="32"/>
  <c r="U254" i="32"/>
  <c r="Z253" i="32"/>
  <c r="X253" i="32"/>
  <c r="U253" i="32"/>
  <c r="Y252" i="32"/>
  <c r="X252" i="32"/>
  <c r="Z251" i="32"/>
  <c r="X251" i="32"/>
  <c r="U251" i="32"/>
  <c r="Z250" i="32"/>
  <c r="X250" i="32"/>
  <c r="V250" i="32" s="1"/>
  <c r="U250" i="32"/>
  <c r="Z249" i="32"/>
  <c r="X249" i="32"/>
  <c r="U249" i="32"/>
  <c r="Z248" i="32"/>
  <c r="U248" i="32"/>
  <c r="AJ233" i="32"/>
  <c r="AJ232" i="32" s="1"/>
  <c r="AK233" i="32"/>
  <c r="AK232" i="32" s="1"/>
  <c r="AL233" i="32"/>
  <c r="AL232" i="32" s="1"/>
  <c r="AM233" i="32"/>
  <c r="AM232" i="32" s="1"/>
  <c r="AO233" i="32"/>
  <c r="AO232" i="32" s="1"/>
  <c r="AQ233" i="32"/>
  <c r="AQ232" i="32" s="1"/>
  <c r="Z245" i="32"/>
  <c r="X245" i="32"/>
  <c r="U245" i="32"/>
  <c r="Z244" i="32"/>
  <c r="X244" i="32"/>
  <c r="U244" i="32"/>
  <c r="Z243" i="32"/>
  <c r="X243" i="32"/>
  <c r="U243" i="32"/>
  <c r="Z242" i="32"/>
  <c r="X242" i="32"/>
  <c r="U242" i="32"/>
  <c r="Z241" i="32"/>
  <c r="X241" i="32"/>
  <c r="U241" i="32"/>
  <c r="Z240" i="32"/>
  <c r="X240" i="32"/>
  <c r="U240" i="32"/>
  <c r="Z239" i="32"/>
  <c r="X239" i="32"/>
  <c r="U239" i="32"/>
  <c r="Z238" i="32"/>
  <c r="X238" i="32"/>
  <c r="U238" i="32"/>
  <c r="Z237" i="32"/>
  <c r="X237" i="32"/>
  <c r="U237" i="32"/>
  <c r="Z236" i="32"/>
  <c r="X236" i="32"/>
  <c r="U236" i="32"/>
  <c r="Z235" i="32"/>
  <c r="X235" i="32"/>
  <c r="U235" i="32"/>
  <c r="Z234" i="32"/>
  <c r="X234" i="32"/>
  <c r="U234" i="32"/>
  <c r="AJ210" i="32"/>
  <c r="AJ209" i="32" s="1"/>
  <c r="AK210" i="32"/>
  <c r="AK209" i="32" s="1"/>
  <c r="AL210" i="32"/>
  <c r="AL209" i="32" s="1"/>
  <c r="AM210" i="32"/>
  <c r="AM209" i="32" s="1"/>
  <c r="AO210" i="32"/>
  <c r="AO209" i="32" s="1"/>
  <c r="AQ210" i="32"/>
  <c r="AQ209" i="32" s="1"/>
  <c r="Z231" i="32"/>
  <c r="X231" i="32"/>
  <c r="U231" i="32"/>
  <c r="Z230" i="32"/>
  <c r="X230" i="32"/>
  <c r="U230" i="32"/>
  <c r="Z229" i="32"/>
  <c r="X229" i="32"/>
  <c r="U229" i="32"/>
  <c r="Z228" i="32"/>
  <c r="X228" i="32"/>
  <c r="U228" i="32"/>
  <c r="Z227" i="32"/>
  <c r="X227" i="32"/>
  <c r="U227" i="32"/>
  <c r="Z226" i="32"/>
  <c r="X226" i="32"/>
  <c r="U226" i="32"/>
  <c r="Z225" i="32"/>
  <c r="X225" i="32"/>
  <c r="U225" i="32"/>
  <c r="Z224" i="32"/>
  <c r="X224" i="32"/>
  <c r="U224" i="32"/>
  <c r="X220" i="32"/>
  <c r="U220" i="32"/>
  <c r="X219" i="32"/>
  <c r="U219" i="32"/>
  <c r="Z218" i="32"/>
  <c r="X218" i="32"/>
  <c r="U218" i="32"/>
  <c r="Z217" i="32"/>
  <c r="X217" i="32"/>
  <c r="U217" i="32"/>
  <c r="Z216" i="32"/>
  <c r="X216" i="32"/>
  <c r="U216" i="32"/>
  <c r="Z215" i="32"/>
  <c r="X215" i="32"/>
  <c r="U215" i="32"/>
  <c r="Z214" i="32"/>
  <c r="X214" i="32"/>
  <c r="U214" i="32"/>
  <c r="Z213" i="32"/>
  <c r="X213" i="32"/>
  <c r="U213" i="32"/>
  <c r="Z212" i="32"/>
  <c r="X212" i="32"/>
  <c r="U212" i="32"/>
  <c r="Z211" i="32"/>
  <c r="X211" i="32"/>
  <c r="U211" i="32"/>
  <c r="AJ186" i="32"/>
  <c r="AK186" i="32"/>
  <c r="AL186" i="32"/>
  <c r="AM186" i="32"/>
  <c r="AO186" i="32"/>
  <c r="AQ186" i="32"/>
  <c r="AQ185" i="32" s="1"/>
  <c r="Z208" i="32"/>
  <c r="Z207" i="32" s="1"/>
  <c r="X208" i="32"/>
  <c r="X207" i="32" s="1"/>
  <c r="U208" i="32"/>
  <c r="U207" i="32" s="1"/>
  <c r="Y206" i="32"/>
  <c r="U206" i="32" s="1"/>
  <c r="X206" i="32"/>
  <c r="Z205" i="32"/>
  <c r="X205" i="32"/>
  <c r="U205" i="32"/>
  <c r="Z204" i="32"/>
  <c r="X204" i="32"/>
  <c r="U204" i="32"/>
  <c r="Z203" i="32"/>
  <c r="X203" i="32"/>
  <c r="U203" i="32"/>
  <c r="Z202" i="32"/>
  <c r="X202" i="32"/>
  <c r="U202" i="32"/>
  <c r="Z201" i="32"/>
  <c r="X201" i="32"/>
  <c r="U201" i="32"/>
  <c r="Z200" i="32"/>
  <c r="X200" i="32"/>
  <c r="U200" i="32"/>
  <c r="Z199" i="32"/>
  <c r="X199" i="32"/>
  <c r="U199" i="32"/>
  <c r="Z194" i="32"/>
  <c r="X194" i="32"/>
  <c r="U194" i="32"/>
  <c r="Z193" i="32"/>
  <c r="X193" i="32"/>
  <c r="U193" i="32"/>
  <c r="Z192" i="32"/>
  <c r="X192" i="32"/>
  <c r="U192" i="32"/>
  <c r="Z191" i="32"/>
  <c r="X191" i="32"/>
  <c r="U191" i="32"/>
  <c r="Z190" i="32"/>
  <c r="X190" i="32"/>
  <c r="U190" i="32"/>
  <c r="Z189" i="32"/>
  <c r="X189" i="32"/>
  <c r="U189" i="32"/>
  <c r="Z188" i="32"/>
  <c r="W188" i="32"/>
  <c r="W186" i="32" s="1"/>
  <c r="W185" i="32" s="1"/>
  <c r="Z187" i="32"/>
  <c r="X187" i="32"/>
  <c r="U187" i="32"/>
  <c r="AJ183" i="32"/>
  <c r="AK183" i="32"/>
  <c r="AL183" i="32"/>
  <c r="AM183" i="32"/>
  <c r="AO183" i="32"/>
  <c r="AJ176" i="32"/>
  <c r="AK176" i="32"/>
  <c r="AL176" i="32"/>
  <c r="AM176" i="32"/>
  <c r="AO176" i="32"/>
  <c r="Z184" i="32"/>
  <c r="Z183" i="32" s="1"/>
  <c r="X184" i="32"/>
  <c r="X183" i="32" s="1"/>
  <c r="U184" i="32"/>
  <c r="U183" i="32" s="1"/>
  <c r="Z182" i="32"/>
  <c r="X182" i="32"/>
  <c r="U182" i="32"/>
  <c r="Z177" i="32"/>
  <c r="X177" i="32"/>
  <c r="U177" i="32"/>
  <c r="AJ149" i="32"/>
  <c r="AJ148" i="32" s="1"/>
  <c r="AK149" i="32"/>
  <c r="AK148" i="32" s="1"/>
  <c r="AL149" i="32"/>
  <c r="AL148" i="32" s="1"/>
  <c r="AM149" i="32"/>
  <c r="AM148" i="32" s="1"/>
  <c r="AO149" i="32"/>
  <c r="AO148" i="32" s="1"/>
  <c r="AQ149" i="32"/>
  <c r="AQ148" i="32" s="1"/>
  <c r="Z174" i="32"/>
  <c r="X174" i="32"/>
  <c r="U174" i="32"/>
  <c r="Z173" i="32"/>
  <c r="X173" i="32"/>
  <c r="U173" i="32"/>
  <c r="Z172" i="32"/>
  <c r="X172" i="32"/>
  <c r="U172" i="32"/>
  <c r="Z171" i="32"/>
  <c r="X171" i="32"/>
  <c r="U171" i="32"/>
  <c r="Z170" i="32"/>
  <c r="X170" i="32"/>
  <c r="U170" i="32"/>
  <c r="Z169" i="32"/>
  <c r="X169" i="32"/>
  <c r="U169" i="32"/>
  <c r="Z168" i="32"/>
  <c r="X168" i="32"/>
  <c r="U168" i="32"/>
  <c r="Z167" i="32"/>
  <c r="X167" i="32"/>
  <c r="U167" i="32"/>
  <c r="Z166" i="32"/>
  <c r="X166" i="32"/>
  <c r="U166" i="32"/>
  <c r="Z165" i="32"/>
  <c r="X165" i="32"/>
  <c r="U165" i="32"/>
  <c r="Z164" i="32"/>
  <c r="X164" i="32"/>
  <c r="U164" i="32"/>
  <c r="Z163" i="32"/>
  <c r="X163" i="32"/>
  <c r="U163" i="32"/>
  <c r="Z162" i="32"/>
  <c r="X162" i="32"/>
  <c r="U162" i="32"/>
  <c r="Z161" i="32"/>
  <c r="X161" i="32"/>
  <c r="U161" i="32"/>
  <c r="Z160" i="32"/>
  <c r="X160" i="32"/>
  <c r="U160" i="32"/>
  <c r="Z159" i="32"/>
  <c r="X159" i="32"/>
  <c r="U159" i="32"/>
  <c r="Y158" i="32"/>
  <c r="U158" i="32" s="1"/>
  <c r="X158" i="32"/>
  <c r="Z157" i="32"/>
  <c r="X157" i="32"/>
  <c r="U157" i="32"/>
  <c r="Z156" i="32"/>
  <c r="X156" i="32"/>
  <c r="U156" i="32"/>
  <c r="Z155" i="32"/>
  <c r="X155" i="32"/>
  <c r="Z154" i="32"/>
  <c r="X154" i="32"/>
  <c r="U154" i="32"/>
  <c r="Z153" i="32"/>
  <c r="X153" i="32"/>
  <c r="U153" i="32"/>
  <c r="Z152" i="32"/>
  <c r="X152" i="32"/>
  <c r="U152" i="32"/>
  <c r="Z151" i="32"/>
  <c r="X151" i="32"/>
  <c r="U151" i="32"/>
  <c r="Z150" i="32"/>
  <c r="X150" i="32"/>
  <c r="U150" i="32"/>
  <c r="AP143" i="32"/>
  <c r="AJ135" i="32"/>
  <c r="AJ134" i="32" s="1"/>
  <c r="AK135" i="32"/>
  <c r="AK134" i="32" s="1"/>
  <c r="AL135" i="32"/>
  <c r="AL134" i="32" s="1"/>
  <c r="AM135" i="32"/>
  <c r="AM134" i="32" s="1"/>
  <c r="AO135" i="32"/>
  <c r="AO134" i="32" s="1"/>
  <c r="AQ135" i="32"/>
  <c r="AQ134" i="32" s="1"/>
  <c r="Z147" i="32"/>
  <c r="X147" i="32"/>
  <c r="U147" i="32"/>
  <c r="Z146" i="32"/>
  <c r="X146" i="32"/>
  <c r="U146" i="32"/>
  <c r="Z145" i="32"/>
  <c r="X145" i="32"/>
  <c r="U145" i="32"/>
  <c r="Z144" i="32"/>
  <c r="X144" i="32"/>
  <c r="U144" i="32"/>
  <c r="Z142" i="32"/>
  <c r="W142" i="32"/>
  <c r="U142" i="32"/>
  <c r="Z141" i="32"/>
  <c r="X141" i="32"/>
  <c r="U141" i="32"/>
  <c r="Z140" i="32"/>
  <c r="X140" i="32"/>
  <c r="U140" i="32"/>
  <c r="Z139" i="32"/>
  <c r="X139" i="32"/>
  <c r="U139" i="32"/>
  <c r="Z138" i="32"/>
  <c r="X138" i="32"/>
  <c r="U138" i="32"/>
  <c r="Z137" i="32"/>
  <c r="X137" i="32"/>
  <c r="U137" i="32"/>
  <c r="Z136" i="32"/>
  <c r="X136" i="32"/>
  <c r="U136" i="32"/>
  <c r="V251" i="32" l="1"/>
  <c r="U309" i="32"/>
  <c r="Z135" i="32"/>
  <c r="Z134" i="32" s="1"/>
  <c r="X247" i="32"/>
  <c r="Z233" i="32"/>
  <c r="Z232" i="32" s="1"/>
  <c r="U188" i="32"/>
  <c r="X188" i="32"/>
  <c r="V188" i="32" s="1"/>
  <c r="X142" i="32"/>
  <c r="W135" i="32"/>
  <c r="Z158" i="32"/>
  <c r="Y149" i="32"/>
  <c r="Y148" i="32" s="1"/>
  <c r="Z206" i="32"/>
  <c r="Y186" i="32"/>
  <c r="Y185" i="32" s="1"/>
  <c r="Z252" i="32"/>
  <c r="Y247" i="32"/>
  <c r="Y246" i="32" s="1"/>
  <c r="Z306" i="32"/>
  <c r="Z272" i="32" s="1"/>
  <c r="Z271" i="32" s="1"/>
  <c r="Y272" i="32"/>
  <c r="Y271" i="32" s="1"/>
  <c r="V147" i="32"/>
  <c r="X149" i="32"/>
  <c r="X148" i="32" s="1"/>
  <c r="X176" i="32"/>
  <c r="X175" i="32" s="1"/>
  <c r="Z186" i="32"/>
  <c r="Z185" i="32" s="1"/>
  <c r="X135" i="32"/>
  <c r="X134" i="32" s="1"/>
  <c r="V145" i="32"/>
  <c r="U149" i="32"/>
  <c r="U148" i="32" s="1"/>
  <c r="Z149" i="32"/>
  <c r="Z148" i="32" s="1"/>
  <c r="V174" i="32"/>
  <c r="U176" i="32"/>
  <c r="U175" i="32" s="1"/>
  <c r="Z176" i="32"/>
  <c r="Z175" i="32" s="1"/>
  <c r="V182" i="32"/>
  <c r="AK175" i="32"/>
  <c r="X186" i="32"/>
  <c r="X185" i="32" s="1"/>
  <c r="V202" i="32"/>
  <c r="V213" i="32"/>
  <c r="V215" i="32"/>
  <c r="V217" i="32"/>
  <c r="X233" i="32"/>
  <c r="X232" i="32" s="1"/>
  <c r="Z247" i="32"/>
  <c r="V249" i="32"/>
  <c r="V252" i="32"/>
  <c r="V253" i="32"/>
  <c r="V255" i="32"/>
  <c r="V257" i="32"/>
  <c r="V259" i="32"/>
  <c r="V261" i="32"/>
  <c r="V263" i="32"/>
  <c r="V265" i="32"/>
  <c r="Z266" i="32"/>
  <c r="X272" i="32"/>
  <c r="X271" i="32" s="1"/>
  <c r="V275" i="32"/>
  <c r="V293" i="32"/>
  <c r="V295" i="32"/>
  <c r="V305" i="32"/>
  <c r="V307" i="32"/>
  <c r="V309" i="32"/>
  <c r="V311" i="32"/>
  <c r="V313" i="32"/>
  <c r="V315" i="32"/>
  <c r="V317" i="32"/>
  <c r="V319" i="32"/>
  <c r="U321" i="32"/>
  <c r="U320" i="32" s="1"/>
  <c r="V211" i="32"/>
  <c r="X210" i="32"/>
  <c r="X209" i="32" s="1"/>
  <c r="Z210" i="32"/>
  <c r="Z209" i="32" s="1"/>
  <c r="X266" i="32"/>
  <c r="X246" i="32" s="1"/>
  <c r="V199" i="32"/>
  <c r="V297" i="32"/>
  <c r="V137" i="32"/>
  <c r="V139" i="32"/>
  <c r="V146" i="32"/>
  <c r="V159" i="32"/>
  <c r="V161" i="32"/>
  <c r="V163" i="32"/>
  <c r="V165" i="32"/>
  <c r="V167" i="32"/>
  <c r="V169" i="32"/>
  <c r="V171" i="32"/>
  <c r="V173" i="32"/>
  <c r="AO175" i="32"/>
  <c r="AL175" i="32"/>
  <c r="AJ175" i="32"/>
  <c r="U186" i="32"/>
  <c r="U185" i="32" s="1"/>
  <c r="V189" i="32"/>
  <c r="V191" i="32"/>
  <c r="V193" i="32"/>
  <c r="V200" i="32"/>
  <c r="V203" i="32"/>
  <c r="V205" i="32"/>
  <c r="V225" i="32"/>
  <c r="V227" i="32"/>
  <c r="V229" i="32"/>
  <c r="V231" i="32"/>
  <c r="U233" i="32"/>
  <c r="U232" i="32" s="1"/>
  <c r="V235" i="32"/>
  <c r="V237" i="32"/>
  <c r="V299" i="32"/>
  <c r="V144" i="32"/>
  <c r="V239" i="32"/>
  <c r="V288" i="32"/>
  <c r="V290" i="32"/>
  <c r="V292" i="32"/>
  <c r="V294" i="32"/>
  <c r="V296" i="32"/>
  <c r="V298" i="32"/>
  <c r="V141" i="32"/>
  <c r="V151" i="32"/>
  <c r="V153" i="32"/>
  <c r="V156" i="32"/>
  <c r="V160" i="32"/>
  <c r="V162" i="32"/>
  <c r="V164" i="32"/>
  <c r="V166" i="32"/>
  <c r="V168" i="32"/>
  <c r="V170" i="32"/>
  <c r="V172" i="32"/>
  <c r="V201" i="32"/>
  <c r="V234" i="32"/>
  <c r="V236" i="32"/>
  <c r="V238" i="32"/>
  <c r="V240" i="32"/>
  <c r="V277" i="32"/>
  <c r="V279" i="32"/>
  <c r="V281" i="32"/>
  <c r="V283" i="32"/>
  <c r="V289" i="32"/>
  <c r="V291" i="32"/>
  <c r="V301" i="32"/>
  <c r="V138" i="32"/>
  <c r="V140" i="32"/>
  <c r="V155" i="32"/>
  <c r="V157" i="32"/>
  <c r="V187" i="32"/>
  <c r="U210" i="32"/>
  <c r="U209" i="32" s="1"/>
  <c r="V212" i="32"/>
  <c r="V214" i="32"/>
  <c r="V216" i="32"/>
  <c r="V218" i="32"/>
  <c r="V224" i="32"/>
  <c r="V226" i="32"/>
  <c r="V228" i="32"/>
  <c r="V230" i="32"/>
  <c r="V241" i="32"/>
  <c r="V243" i="32"/>
  <c r="V245" i="32"/>
  <c r="V267" i="32"/>
  <c r="V269" i="32"/>
  <c r="U272" i="32"/>
  <c r="U271" i="32" s="1"/>
  <c r="V274" i="32"/>
  <c r="V276" i="32"/>
  <c r="V278" i="32"/>
  <c r="V280" i="32"/>
  <c r="V282" i="32"/>
  <c r="V284" i="32"/>
  <c r="V286" i="32"/>
  <c r="V300" i="32"/>
  <c r="V304" i="32"/>
  <c r="V310" i="32"/>
  <c r="V312" i="32"/>
  <c r="V314" i="32"/>
  <c r="V316" i="32"/>
  <c r="V318" i="32"/>
  <c r="V322" i="32"/>
  <c r="V321" i="32" s="1"/>
  <c r="V320" i="32" s="1"/>
  <c r="V268" i="32"/>
  <c r="U135" i="32"/>
  <c r="U134" i="32" s="1"/>
  <c r="V150" i="32"/>
  <c r="V152" i="32"/>
  <c r="V154" i="32"/>
  <c r="V177" i="32"/>
  <c r="V176" i="32" s="1"/>
  <c r="V184" i="32"/>
  <c r="V183" i="32" s="1"/>
  <c r="V136" i="32"/>
  <c r="V142" i="32"/>
  <c r="AM175" i="32"/>
  <c r="V208" i="32"/>
  <c r="V207" i="32" s="1"/>
  <c r="AQ246" i="32"/>
  <c r="AM246" i="32"/>
  <c r="AK246" i="32"/>
  <c r="V190" i="32"/>
  <c r="V192" i="32"/>
  <c r="V194" i="32"/>
  <c r="V204" i="32"/>
  <c r="V206" i="32"/>
  <c r="V242" i="32"/>
  <c r="V244" i="32"/>
  <c r="U266" i="32"/>
  <c r="AO246" i="32"/>
  <c r="V254" i="32"/>
  <c r="V256" i="32"/>
  <c r="V258" i="32"/>
  <c r="V260" i="32"/>
  <c r="V262" i="32"/>
  <c r="V264" i="32"/>
  <c r="AL246" i="32"/>
  <c r="AJ246" i="32"/>
  <c r="V273" i="32"/>
  <c r="V285" i="32"/>
  <c r="V287" i="32"/>
  <c r="V308" i="32"/>
  <c r="V306" i="32"/>
  <c r="U252" i="32"/>
  <c r="V158" i="32"/>
  <c r="W134" i="32" l="1"/>
  <c r="W26" i="32" s="1"/>
  <c r="W27" i="32"/>
  <c r="Z246" i="32"/>
  <c r="V210" i="32"/>
  <c r="V209" i="32" s="1"/>
  <c r="V186" i="32"/>
  <c r="V185" i="32" s="1"/>
  <c r="V266" i="32"/>
  <c r="V135" i="32"/>
  <c r="V134" i="32" s="1"/>
  <c r="V175" i="32"/>
  <c r="V233" i="32"/>
  <c r="V232" i="32" s="1"/>
  <c r="V247" i="32"/>
  <c r="V246" i="32" s="1"/>
  <c r="V272" i="32"/>
  <c r="V271" i="32" s="1"/>
  <c r="U247" i="32"/>
  <c r="U246" i="32" s="1"/>
  <c r="V149" i="32"/>
  <c r="V148" i="32" s="1"/>
  <c r="AJ112" i="32" l="1"/>
  <c r="AK112" i="32"/>
  <c r="AL112" i="32"/>
  <c r="AM112" i="32"/>
  <c r="AO112" i="32"/>
  <c r="AJ132" i="32"/>
  <c r="AK132" i="32"/>
  <c r="AL132" i="32"/>
  <c r="AM132" i="32"/>
  <c r="AO132" i="32"/>
  <c r="Z133" i="32"/>
  <c r="Z132" i="32" s="1"/>
  <c r="X133" i="32"/>
  <c r="X132" i="32" s="1"/>
  <c r="U133" i="32"/>
  <c r="Y131" i="32"/>
  <c r="X131" i="32"/>
  <c r="U131" i="32"/>
  <c r="Z130" i="32"/>
  <c r="X130" i="32"/>
  <c r="U130" i="32"/>
  <c r="Z129" i="32"/>
  <c r="X129" i="32"/>
  <c r="U129" i="32"/>
  <c r="Z128" i="32"/>
  <c r="X128" i="32"/>
  <c r="U128" i="32"/>
  <c r="Z127" i="32"/>
  <c r="X127" i="32"/>
  <c r="V127" i="32" s="1"/>
  <c r="U127" i="32"/>
  <c r="Z126" i="32"/>
  <c r="X126" i="32"/>
  <c r="V126" i="32" s="1"/>
  <c r="U126" i="32"/>
  <c r="Z125" i="32"/>
  <c r="X125" i="32"/>
  <c r="U125" i="32"/>
  <c r="Z124" i="32"/>
  <c r="X124" i="32"/>
  <c r="U124" i="32"/>
  <c r="Z123" i="32"/>
  <c r="X123" i="32"/>
  <c r="V123" i="32" s="1"/>
  <c r="U123" i="32"/>
  <c r="Z122" i="32"/>
  <c r="X122" i="32"/>
  <c r="U122" i="32"/>
  <c r="Z121" i="32"/>
  <c r="X121" i="32"/>
  <c r="V121" i="32" s="1"/>
  <c r="U121" i="32"/>
  <c r="X120" i="32"/>
  <c r="V120" i="32" s="1"/>
  <c r="U120" i="32"/>
  <c r="Z116" i="32"/>
  <c r="X116" i="32"/>
  <c r="V116" i="32"/>
  <c r="U116" i="32"/>
  <c r="Z115" i="32"/>
  <c r="X115" i="32"/>
  <c r="U115" i="32"/>
  <c r="Z114" i="32"/>
  <c r="X114" i="32"/>
  <c r="V114" i="32" s="1"/>
  <c r="U114" i="32"/>
  <c r="Z113" i="32"/>
  <c r="X113" i="32"/>
  <c r="U113" i="32"/>
  <c r="AJ97" i="32"/>
  <c r="AJ96" i="32" s="1"/>
  <c r="AK97" i="32"/>
  <c r="AK96" i="32" s="1"/>
  <c r="AL97" i="32"/>
  <c r="AL96" i="32" s="1"/>
  <c r="AM97" i="32"/>
  <c r="AM96" i="32" s="1"/>
  <c r="AO97" i="32"/>
  <c r="AO96" i="32" s="1"/>
  <c r="AQ97" i="32"/>
  <c r="AQ96" i="32" s="1"/>
  <c r="AP109" i="32"/>
  <c r="Z110" i="32"/>
  <c r="X110" i="32"/>
  <c r="U110" i="32"/>
  <c r="Z109" i="32"/>
  <c r="X109" i="32"/>
  <c r="Z108" i="32"/>
  <c r="X108" i="32"/>
  <c r="U108" i="32"/>
  <c r="Z107" i="32"/>
  <c r="X107" i="32"/>
  <c r="V107" i="32" s="1"/>
  <c r="U107" i="32"/>
  <c r="Z106" i="32"/>
  <c r="X106" i="32"/>
  <c r="V106" i="32"/>
  <c r="U106" i="32"/>
  <c r="Z105" i="32"/>
  <c r="X105" i="32"/>
  <c r="V105" i="32"/>
  <c r="U105" i="32"/>
  <c r="Z104" i="32"/>
  <c r="X104" i="32"/>
  <c r="U104" i="32"/>
  <c r="Z100" i="32"/>
  <c r="X100" i="32"/>
  <c r="U100" i="32"/>
  <c r="Z99" i="32"/>
  <c r="X99" i="32"/>
  <c r="U99" i="32"/>
  <c r="Z98" i="32"/>
  <c r="X98" i="32"/>
  <c r="U98" i="32"/>
  <c r="AJ61" i="32"/>
  <c r="AK61" i="32"/>
  <c r="AL61" i="32"/>
  <c r="AM61" i="32"/>
  <c r="AO61" i="32"/>
  <c r="AQ61" i="32"/>
  <c r="AJ91" i="32"/>
  <c r="AK91" i="32"/>
  <c r="AL91" i="32"/>
  <c r="AM91" i="32"/>
  <c r="AO91" i="32"/>
  <c r="AQ91" i="32"/>
  <c r="AQ28" i="32" s="1"/>
  <c r="AP74" i="32"/>
  <c r="Z95" i="32"/>
  <c r="X95" i="32"/>
  <c r="V95" i="32" s="1"/>
  <c r="U95" i="32"/>
  <c r="Z94" i="32"/>
  <c r="X94" i="32"/>
  <c r="U94" i="32"/>
  <c r="Z93" i="32"/>
  <c r="X93" i="32"/>
  <c r="U93" i="32"/>
  <c r="Z92" i="32"/>
  <c r="X92" i="32"/>
  <c r="X91" i="32" s="1"/>
  <c r="U92" i="32"/>
  <c r="Z90" i="32"/>
  <c r="X90" i="32"/>
  <c r="V90" i="32" s="1"/>
  <c r="U90" i="32"/>
  <c r="Z89" i="32"/>
  <c r="X89" i="32"/>
  <c r="U89" i="32"/>
  <c r="Z88" i="32"/>
  <c r="X88" i="32"/>
  <c r="U88" i="32"/>
  <c r="Z87" i="32"/>
  <c r="X87" i="32"/>
  <c r="U87" i="32"/>
  <c r="Z86" i="32"/>
  <c r="X86" i="32"/>
  <c r="V86" i="32" s="1"/>
  <c r="U86" i="32"/>
  <c r="Z85" i="32"/>
  <c r="X85" i="32"/>
  <c r="U85" i="32"/>
  <c r="Z84" i="32"/>
  <c r="X84" i="32"/>
  <c r="U84" i="32"/>
  <c r="Z83" i="32"/>
  <c r="X83" i="32"/>
  <c r="U83" i="32"/>
  <c r="Z82" i="32"/>
  <c r="X82" i="32"/>
  <c r="V82" i="32" s="1"/>
  <c r="U82" i="32"/>
  <c r="Z81" i="32"/>
  <c r="X81" i="32"/>
  <c r="U81" i="32"/>
  <c r="Z80" i="32"/>
  <c r="X80" i="32"/>
  <c r="U80" i="32"/>
  <c r="Z79" i="32"/>
  <c r="X79" i="32"/>
  <c r="U79" i="32"/>
  <c r="Z78" i="32"/>
  <c r="X78" i="32"/>
  <c r="V78" i="32" s="1"/>
  <c r="U78" i="32"/>
  <c r="Z77" i="32"/>
  <c r="X77" i="32"/>
  <c r="U77" i="32"/>
  <c r="Z76" i="32"/>
  <c r="X76" i="32"/>
  <c r="U76" i="32"/>
  <c r="Z75" i="32"/>
  <c r="X75" i="32"/>
  <c r="U75" i="32"/>
  <c r="Z74" i="32"/>
  <c r="X74" i="32"/>
  <c r="V74" i="32" s="1"/>
  <c r="Z73" i="32"/>
  <c r="X73" i="32"/>
  <c r="U73" i="32"/>
  <c r="Z72" i="32"/>
  <c r="X72" i="32"/>
  <c r="U72" i="32"/>
  <c r="Z71" i="32"/>
  <c r="X71" i="32"/>
  <c r="U71" i="32"/>
  <c r="Z70" i="32"/>
  <c r="X70" i="32"/>
  <c r="U70" i="32"/>
  <c r="Y69" i="32"/>
  <c r="Y61" i="32" s="1"/>
  <c r="X69" i="32"/>
  <c r="Z65" i="32"/>
  <c r="X65" i="32"/>
  <c r="V65" i="32" s="1"/>
  <c r="U65" i="32"/>
  <c r="Z64" i="32"/>
  <c r="X64" i="32"/>
  <c r="U64" i="32"/>
  <c r="Z63" i="32"/>
  <c r="X63" i="32"/>
  <c r="V63" i="32" s="1"/>
  <c r="U63" i="32"/>
  <c r="Z62" i="32"/>
  <c r="X62" i="32"/>
  <c r="U62" i="32"/>
  <c r="AJ41" i="32"/>
  <c r="AK41" i="32"/>
  <c r="AL41" i="32"/>
  <c r="AM41" i="32"/>
  <c r="AO41" i="32"/>
  <c r="AQ41" i="32"/>
  <c r="AQ40" i="32" s="1"/>
  <c r="AJ58" i="32"/>
  <c r="AK58" i="32"/>
  <c r="AL58" i="32"/>
  <c r="AM58" i="32"/>
  <c r="AO58" i="32"/>
  <c r="Z59" i="32"/>
  <c r="Z58" i="32" s="1"/>
  <c r="X59" i="32"/>
  <c r="X58" i="32" s="1"/>
  <c r="U59" i="32"/>
  <c r="U58" i="32" s="1"/>
  <c r="U57" i="32"/>
  <c r="Z57" i="32"/>
  <c r="X57" i="32"/>
  <c r="V57" i="32" s="1"/>
  <c r="Z56" i="32"/>
  <c r="X56" i="32"/>
  <c r="U56" i="32"/>
  <c r="Z55" i="32"/>
  <c r="X55" i="32"/>
  <c r="U55" i="32"/>
  <c r="Z54" i="32"/>
  <c r="X54" i="32"/>
  <c r="V54" i="32" s="1"/>
  <c r="U54" i="32"/>
  <c r="Z53" i="32"/>
  <c r="X53" i="32"/>
  <c r="U53" i="32"/>
  <c r="Z52" i="32"/>
  <c r="X52" i="32"/>
  <c r="V52" i="32" s="1"/>
  <c r="U52" i="32"/>
  <c r="Z51" i="32"/>
  <c r="X51" i="32"/>
  <c r="U51" i="32"/>
  <c r="Z50" i="32"/>
  <c r="X50" i="32"/>
  <c r="V50" i="32" s="1"/>
  <c r="U50" i="32"/>
  <c r="Z49" i="32"/>
  <c r="X49" i="32"/>
  <c r="U49" i="32"/>
  <c r="Z48" i="32"/>
  <c r="X48" i="32"/>
  <c r="V48" i="32" s="1"/>
  <c r="U48" i="32"/>
  <c r="Z47" i="32"/>
  <c r="X47" i="32"/>
  <c r="U47" i="32"/>
  <c r="Z46" i="32"/>
  <c r="X46" i="32"/>
  <c r="V46" i="32" s="1"/>
  <c r="U46" i="32"/>
  <c r="Z45" i="32"/>
  <c r="X45" i="32"/>
  <c r="U45" i="32"/>
  <c r="Z44" i="32"/>
  <c r="X44" i="32"/>
  <c r="V44" i="32" s="1"/>
  <c r="U44" i="32"/>
  <c r="Z43" i="32"/>
  <c r="X43" i="32"/>
  <c r="U43" i="32"/>
  <c r="Z42" i="32"/>
  <c r="X42" i="32"/>
  <c r="X41" i="32" s="1"/>
  <c r="X40" i="32" s="1"/>
  <c r="U42" i="32"/>
  <c r="AJ30" i="32"/>
  <c r="AK30" i="32"/>
  <c r="AK27" i="32" s="1"/>
  <c r="AL30" i="32"/>
  <c r="AM30" i="32"/>
  <c r="AO30" i="32"/>
  <c r="AQ30" i="32"/>
  <c r="AQ27" i="32" s="1"/>
  <c r="AC38" i="32"/>
  <c r="Z39" i="32"/>
  <c r="X39" i="32"/>
  <c r="U39" i="32"/>
  <c r="Z38" i="32"/>
  <c r="X38" i="32"/>
  <c r="V38" i="32" s="1"/>
  <c r="U38" i="32"/>
  <c r="AP38" i="32" s="1"/>
  <c r="Z37" i="32"/>
  <c r="X37" i="32"/>
  <c r="U37" i="32"/>
  <c r="Z36" i="32"/>
  <c r="X36" i="32"/>
  <c r="U36" i="32"/>
  <c r="Z35" i="32"/>
  <c r="X35" i="32"/>
  <c r="U35" i="32"/>
  <c r="Z34" i="32"/>
  <c r="X34" i="32"/>
  <c r="V34" i="32" s="1"/>
  <c r="U34" i="32"/>
  <c r="Z33" i="32"/>
  <c r="X33" i="32"/>
  <c r="U33" i="32"/>
  <c r="Z32" i="32"/>
  <c r="X32" i="32"/>
  <c r="V32" i="32" s="1"/>
  <c r="U32" i="32"/>
  <c r="Z31" i="32"/>
  <c r="X31" i="32"/>
  <c r="U31" i="32"/>
  <c r="AC32" i="32"/>
  <c r="AC33" i="32"/>
  <c r="AC34" i="32"/>
  <c r="AC35" i="32"/>
  <c r="AC36" i="32"/>
  <c r="AC37" i="32"/>
  <c r="AC39" i="32"/>
  <c r="Z30" i="32" l="1"/>
  <c r="V73" i="32"/>
  <c r="V76" i="32"/>
  <c r="V80" i="32"/>
  <c r="V84" i="32"/>
  <c r="V88" i="32"/>
  <c r="U91" i="32"/>
  <c r="X112" i="32"/>
  <c r="X111" i="32" s="1"/>
  <c r="AM27" i="32"/>
  <c r="U69" i="32"/>
  <c r="U61" i="32" s="1"/>
  <c r="U60" i="32" s="1"/>
  <c r="Y60" i="32"/>
  <c r="V94" i="32"/>
  <c r="V108" i="32"/>
  <c r="Z131" i="32"/>
  <c r="V131" i="32" s="1"/>
  <c r="Y112" i="32"/>
  <c r="Y111" i="32" s="1"/>
  <c r="Z69" i="32"/>
  <c r="Z61" i="32" s="1"/>
  <c r="V124" i="32"/>
  <c r="V125" i="32"/>
  <c r="AO27" i="32"/>
  <c r="Z41" i="32"/>
  <c r="Z40" i="32" s="1"/>
  <c r="V49" i="32"/>
  <c r="V51" i="32"/>
  <c r="V53" i="32"/>
  <c r="V55" i="32"/>
  <c r="X28" i="32"/>
  <c r="X61" i="32"/>
  <c r="X60" i="32" s="1"/>
  <c r="V92" i="32"/>
  <c r="Z91" i="32"/>
  <c r="Z28" i="32" s="1"/>
  <c r="Z97" i="32"/>
  <c r="Z96" i="32" s="1"/>
  <c r="V104" i="32"/>
  <c r="V110" i="32"/>
  <c r="V113" i="32"/>
  <c r="Z112" i="32"/>
  <c r="Z111" i="32" s="1"/>
  <c r="V115" i="32"/>
  <c r="V122" i="32"/>
  <c r="V128" i="32"/>
  <c r="V130" i="32"/>
  <c r="X30" i="32"/>
  <c r="V98" i="32"/>
  <c r="X97" i="32"/>
  <c r="X96" i="32" s="1"/>
  <c r="Z29" i="32"/>
  <c r="AA30" i="32"/>
  <c r="AA29" i="32" s="1"/>
  <c r="V100" i="32"/>
  <c r="V56" i="32"/>
  <c r="V72" i="32"/>
  <c r="V109" i="32"/>
  <c r="V93" i="32"/>
  <c r="V59" i="32"/>
  <c r="V58" i="32" s="1"/>
  <c r="V91" i="32"/>
  <c r="V70" i="32"/>
  <c r="V71" i="32"/>
  <c r="V36" i="32"/>
  <c r="V43" i="32"/>
  <c r="AP32" i="32"/>
  <c r="V33" i="32"/>
  <c r="AP34" i="32"/>
  <c r="V35" i="32"/>
  <c r="AP36" i="32"/>
  <c r="V37" i="32"/>
  <c r="V39" i="32"/>
  <c r="V45" i="32"/>
  <c r="AM111" i="32"/>
  <c r="AK111" i="32"/>
  <c r="AP33" i="32"/>
  <c r="AP35" i="32"/>
  <c r="AP37" i="32"/>
  <c r="AP39" i="32"/>
  <c r="V75" i="32"/>
  <c r="V77" i="32"/>
  <c r="V79" i="32"/>
  <c r="V81" i="32"/>
  <c r="V83" i="32"/>
  <c r="V85" i="32"/>
  <c r="V87" i="32"/>
  <c r="AO111" i="32"/>
  <c r="V31" i="32"/>
  <c r="U30" i="32"/>
  <c r="U29" i="32" s="1"/>
  <c r="V42" i="32"/>
  <c r="V47" i="32"/>
  <c r="U41" i="32"/>
  <c r="U40" i="32" s="1"/>
  <c r="AL40" i="32"/>
  <c r="AJ40" i="32"/>
  <c r="V62" i="32"/>
  <c r="V64" i="32"/>
  <c r="V89" i="32"/>
  <c r="AL60" i="32"/>
  <c r="AJ60" i="32"/>
  <c r="U97" i="32"/>
  <c r="U96" i="32" s="1"/>
  <c r="V129" i="32"/>
  <c r="U132" i="32"/>
  <c r="U112" i="32"/>
  <c r="AL111" i="32"/>
  <c r="AJ111" i="32"/>
  <c r="AO40" i="32"/>
  <c r="AM40" i="32"/>
  <c r="AK40" i="32"/>
  <c r="AQ60" i="32"/>
  <c r="AO60" i="32"/>
  <c r="AM60" i="32"/>
  <c r="AK60" i="32"/>
  <c r="V99" i="32"/>
  <c r="V133" i="32"/>
  <c r="V132" i="32" s="1"/>
  <c r="AL27" i="32"/>
  <c r="AJ27" i="32"/>
  <c r="AQ29" i="32"/>
  <c r="AO29" i="32"/>
  <c r="AM29" i="32"/>
  <c r="AK29" i="32"/>
  <c r="AL29" i="32"/>
  <c r="AJ29" i="32"/>
  <c r="AQ26" i="32" l="1"/>
  <c r="V28" i="32"/>
  <c r="U28" i="32"/>
  <c r="Z27" i="32"/>
  <c r="V69" i="32"/>
  <c r="V61" i="32" s="1"/>
  <c r="V60" i="32" s="1"/>
  <c r="Y26" i="32"/>
  <c r="Y27" i="32"/>
  <c r="Z60" i="32"/>
  <c r="Z26" i="32" s="1"/>
  <c r="X27" i="32"/>
  <c r="X29" i="32"/>
  <c r="X26" i="32" s="1"/>
  <c r="U27" i="32"/>
  <c r="V97" i="32"/>
  <c r="V96" i="32" s="1"/>
  <c r="V30" i="32"/>
  <c r="V29" i="32" s="1"/>
  <c r="U111" i="32"/>
  <c r="U26" i="32" s="1"/>
  <c r="V112" i="32"/>
  <c r="V111" i="32" s="1"/>
  <c r="V41" i="32"/>
  <c r="V40" i="32" s="1"/>
  <c r="V27" i="32" l="1"/>
  <c r="V26" i="32"/>
  <c r="AT251" i="32" l="1"/>
  <c r="AV264" i="32"/>
  <c r="AV263" i="32"/>
  <c r="AW263" i="32" s="1"/>
  <c r="AV262" i="32"/>
  <c r="AV258" i="32"/>
  <c r="AV257" i="32"/>
  <c r="AV256" i="32"/>
  <c r="AW256" i="32" s="1"/>
  <c r="AV254" i="32"/>
  <c r="AV252" i="32"/>
  <c r="AV171" i="32"/>
  <c r="AV165" i="32"/>
  <c r="AW165" i="32" s="1"/>
  <c r="AV162" i="32"/>
  <c r="AV161" i="32"/>
  <c r="AV158" i="32"/>
  <c r="AV155" i="32"/>
  <c r="AR155" i="32" s="1"/>
  <c r="AX155" i="32" s="1"/>
  <c r="AT156" i="32"/>
  <c r="BJ324" i="32"/>
  <c r="BH324" i="32"/>
  <c r="BE324" i="32"/>
  <c r="BC324" i="32" s="1"/>
  <c r="AW324" i="32"/>
  <c r="AU324" i="32"/>
  <c r="AR324" i="32"/>
  <c r="AX324" i="32" s="1"/>
  <c r="AH324" i="32"/>
  <c r="AF324" i="32"/>
  <c r="AC324" i="32"/>
  <c r="BC323" i="32"/>
  <c r="AV323" i="32"/>
  <c r="AW323" i="32" s="1"/>
  <c r="AU323" i="32"/>
  <c r="AU321" i="32" s="1"/>
  <c r="AU320" i="32" s="1"/>
  <c r="AI323" i="32"/>
  <c r="AH323" i="32"/>
  <c r="AC323" i="32"/>
  <c r="BJ322" i="32"/>
  <c r="BH322" i="32"/>
  <c r="BE322" i="32"/>
  <c r="BC322" i="32" s="1"/>
  <c r="AV322" i="32"/>
  <c r="AW322" i="32" s="1"/>
  <c r="AI322" i="32"/>
  <c r="AI321" i="32" s="1"/>
  <c r="AI320" i="32" s="1"/>
  <c r="AH322" i="32"/>
  <c r="AF322" i="32"/>
  <c r="AC322" i="32"/>
  <c r="BT321" i="32"/>
  <c r="BT320" i="32" s="1"/>
  <c r="BS321" i="32"/>
  <c r="BR321" i="32"/>
  <c r="BR320" i="32" s="1"/>
  <c r="BQ321" i="32"/>
  <c r="BP321" i="32"/>
  <c r="BP320" i="32" s="1"/>
  <c r="BO321" i="32"/>
  <c r="BN321" i="32"/>
  <c r="BN320" i="32" s="1"/>
  <c r="BM321" i="32"/>
  <c r="BL321" i="32"/>
  <c r="BL320" i="32" s="1"/>
  <c r="BK321" i="32"/>
  <c r="BJ321" i="32"/>
  <c r="BJ320" i="32" s="1"/>
  <c r="BI321" i="32"/>
  <c r="BH321" i="32"/>
  <c r="BH320" i="32" s="1"/>
  <c r="BG321" i="32"/>
  <c r="AZ321" i="32"/>
  <c r="AZ320" i="32" s="1"/>
  <c r="AY321" i="32"/>
  <c r="AY320" i="32" s="1"/>
  <c r="AT321" i="32"/>
  <c r="AG321" i="32"/>
  <c r="AG320" i="32" s="1"/>
  <c r="AE321" i="32"/>
  <c r="AE320" i="32" s="1"/>
  <c r="T321" i="32"/>
  <c r="T320" i="32" s="1"/>
  <c r="M321" i="32"/>
  <c r="M320" i="32" s="1"/>
  <c r="G321" i="32"/>
  <c r="G320" i="32" s="1"/>
  <c r="F321" i="32"/>
  <c r="F320" i="32" s="1"/>
  <c r="BS320" i="32"/>
  <c r="BQ320" i="32"/>
  <c r="BO320" i="32"/>
  <c r="BM320" i="32"/>
  <c r="BK320" i="32"/>
  <c r="BI320" i="32"/>
  <c r="BG320" i="32"/>
  <c r="AT320" i="32"/>
  <c r="BJ319" i="32"/>
  <c r="BH319" i="32"/>
  <c r="BE319" i="32"/>
  <c r="BC319" i="32" s="1"/>
  <c r="AW319" i="32"/>
  <c r="AU319" i="32"/>
  <c r="AR319" i="32"/>
  <c r="AX319" i="32" s="1"/>
  <c r="AH319" i="32"/>
  <c r="AF319" i="32"/>
  <c r="AD319" i="32" s="1"/>
  <c r="AC319" i="32"/>
  <c r="S319" i="32" s="1"/>
  <c r="BJ318" i="32"/>
  <c r="BH318" i="32"/>
  <c r="BE318" i="32"/>
  <c r="BC318" i="32" s="1"/>
  <c r="AW318" i="32"/>
  <c r="AU318" i="32"/>
  <c r="AR318" i="32"/>
  <c r="AX318" i="32" s="1"/>
  <c r="AH318" i="32"/>
  <c r="AF318" i="32"/>
  <c r="AC318" i="32"/>
  <c r="BJ317" i="32"/>
  <c r="BH317" i="32"/>
  <c r="BE317" i="32"/>
  <c r="BC317" i="32" s="1"/>
  <c r="AW317" i="32"/>
  <c r="AU317" i="32"/>
  <c r="AR317" i="32"/>
  <c r="AX317" i="32" s="1"/>
  <c r="AH317" i="32"/>
  <c r="AF317" i="32"/>
  <c r="AC317" i="32"/>
  <c r="BJ316" i="32"/>
  <c r="BH316" i="32"/>
  <c r="BE316" i="32"/>
  <c r="BC316" i="32" s="1"/>
  <c r="AW316" i="32"/>
  <c r="AU316" i="32"/>
  <c r="AR316" i="32"/>
  <c r="AX316" i="32" s="1"/>
  <c r="AH316" i="32"/>
  <c r="AF316" i="32"/>
  <c r="AC316" i="32"/>
  <c r="BJ315" i="32"/>
  <c r="BH315" i="32"/>
  <c r="BE315" i="32"/>
  <c r="BC315" i="32" s="1"/>
  <c r="AW315" i="32"/>
  <c r="AU315" i="32"/>
  <c r="AR315" i="32"/>
  <c r="AX315" i="32" s="1"/>
  <c r="AH315" i="32"/>
  <c r="AF315" i="32"/>
  <c r="AC315" i="32"/>
  <c r="BJ314" i="32"/>
  <c r="BH314" i="32"/>
  <c r="BE314" i="32"/>
  <c r="BC314" i="32" s="1"/>
  <c r="AW314" i="32"/>
  <c r="AU314" i="32"/>
  <c r="AR314" i="32"/>
  <c r="AX314" i="32" s="1"/>
  <c r="AH314" i="32"/>
  <c r="AF314" i="32"/>
  <c r="AC314" i="32"/>
  <c r="BJ313" i="32"/>
  <c r="BH313" i="32"/>
  <c r="BE313" i="32"/>
  <c r="BC313" i="32" s="1"/>
  <c r="AV313" i="32"/>
  <c r="AW313" i="32" s="1"/>
  <c r="AU313" i="32"/>
  <c r="AR313" i="32"/>
  <c r="AX313" i="32" s="1"/>
  <c r="AH313" i="32"/>
  <c r="AF313" i="32"/>
  <c r="AC313" i="32"/>
  <c r="BJ312" i="32"/>
  <c r="BH312" i="32"/>
  <c r="BE312" i="32"/>
  <c r="BC312" i="32" s="1"/>
  <c r="AV312" i="32"/>
  <c r="AW312" i="32" s="1"/>
  <c r="AU312" i="32"/>
  <c r="AH312" i="32"/>
  <c r="AF312" i="32"/>
  <c r="AC312" i="32"/>
  <c r="BJ311" i="32"/>
  <c r="BH311" i="32"/>
  <c r="BE311" i="32"/>
  <c r="BC311" i="32" s="1"/>
  <c r="AV311" i="32"/>
  <c r="AW311" i="32" s="1"/>
  <c r="AU311" i="32"/>
  <c r="AH311" i="32"/>
  <c r="AF311" i="32"/>
  <c r="AC311" i="32"/>
  <c r="BJ310" i="32"/>
  <c r="BH310" i="32"/>
  <c r="BE310" i="32"/>
  <c r="BC310" i="32" s="1"/>
  <c r="AW310" i="32"/>
  <c r="AU310" i="32"/>
  <c r="AR310" i="32"/>
  <c r="AN310" i="32" s="1"/>
  <c r="AH310" i="32"/>
  <c r="AF310" i="32"/>
  <c r="AC310" i="32"/>
  <c r="BJ309" i="32"/>
  <c r="BH309" i="32"/>
  <c r="BE309" i="32"/>
  <c r="BC309" i="32" s="1"/>
  <c r="AV309" i="32"/>
  <c r="AW309" i="32" s="1"/>
  <c r="AU309" i="32"/>
  <c r="AR309" i="32"/>
  <c r="AX309" i="32" s="1"/>
  <c r="AH309" i="32"/>
  <c r="AF309" i="32"/>
  <c r="AC309" i="32"/>
  <c r="BJ308" i="32"/>
  <c r="BH308" i="32"/>
  <c r="BE308" i="32"/>
  <c r="BC308" i="32" s="1"/>
  <c r="AV308" i="32"/>
  <c r="AW308" i="32" s="1"/>
  <c r="AU308" i="32"/>
  <c r="AH308" i="32"/>
  <c r="AF308" i="32"/>
  <c r="AC308" i="32"/>
  <c r="BJ307" i="32"/>
  <c r="BH307" i="32"/>
  <c r="BF307" i="32" s="1"/>
  <c r="BE307" i="32"/>
  <c r="BC307" i="32" s="1"/>
  <c r="AV307" i="32"/>
  <c r="AW307" i="32" s="1"/>
  <c r="AU307" i="32"/>
  <c r="AR307" i="32"/>
  <c r="AX307" i="32" s="1"/>
  <c r="AH307" i="32"/>
  <c r="AF307" i="32"/>
  <c r="AC307" i="32"/>
  <c r="BJ306" i="32"/>
  <c r="BH306" i="32"/>
  <c r="BE306" i="32"/>
  <c r="BC306" i="32" s="1"/>
  <c r="AV306" i="32"/>
  <c r="AW306" i="32" s="1"/>
  <c r="AU306" i="32"/>
  <c r="AR306" i="32"/>
  <c r="AX306" i="32" s="1"/>
  <c r="AH306" i="32"/>
  <c r="AF306" i="32"/>
  <c r="AC306" i="32"/>
  <c r="BJ305" i="32"/>
  <c r="BH305" i="32"/>
  <c r="BE305" i="32"/>
  <c r="BC305" i="32" s="1"/>
  <c r="AW305" i="32"/>
  <c r="AU305" i="32"/>
  <c r="AR305" i="32"/>
  <c r="AN305" i="32" s="1"/>
  <c r="AH305" i="32"/>
  <c r="AF305" i="32"/>
  <c r="AC305" i="32"/>
  <c r="BJ304" i="32"/>
  <c r="BH304" i="32"/>
  <c r="BE304" i="32"/>
  <c r="BC304" i="32" s="1"/>
  <c r="AW304" i="32"/>
  <c r="AU304" i="32"/>
  <c r="AR304" i="32"/>
  <c r="AN304" i="32" s="1"/>
  <c r="AH304" i="32"/>
  <c r="AF304" i="32"/>
  <c r="AC304" i="32"/>
  <c r="AF303" i="32"/>
  <c r="AC303" i="32"/>
  <c r="AF302" i="32"/>
  <c r="AC302" i="32"/>
  <c r="BJ301" i="32"/>
  <c r="BH301" i="32"/>
  <c r="BE301" i="32"/>
  <c r="BC301" i="32" s="1"/>
  <c r="AW301" i="32"/>
  <c r="AU301" i="32"/>
  <c r="AR301" i="32"/>
  <c r="AX301" i="32" s="1"/>
  <c r="AH301" i="32"/>
  <c r="AF301" i="32"/>
  <c r="AC301" i="32"/>
  <c r="I301" i="32"/>
  <c r="BJ300" i="32"/>
  <c r="BH300" i="32"/>
  <c r="BE300" i="32"/>
  <c r="BC300" i="32" s="1"/>
  <c r="AW300" i="32"/>
  <c r="AU300" i="32"/>
  <c r="AR300" i="32"/>
  <c r="AX300" i="32" s="1"/>
  <c r="AH300" i="32"/>
  <c r="AF300" i="32"/>
  <c r="AC300" i="32"/>
  <c r="I300" i="32"/>
  <c r="BJ299" i="32"/>
  <c r="BH299" i="32"/>
  <c r="BE299" i="32"/>
  <c r="BC299" i="32" s="1"/>
  <c r="AW299" i="32"/>
  <c r="AU299" i="32"/>
  <c r="AR299" i="32"/>
  <c r="AX299" i="32" s="1"/>
  <c r="AH299" i="32"/>
  <c r="AF299" i="32"/>
  <c r="AC299" i="32"/>
  <c r="I299" i="32"/>
  <c r="BJ298" i="32"/>
  <c r="BH298" i="32"/>
  <c r="BE298" i="32"/>
  <c r="BC298" i="32" s="1"/>
  <c r="AW298" i="32"/>
  <c r="AU298" i="32"/>
  <c r="AR298" i="32"/>
  <c r="AX298" i="32" s="1"/>
  <c r="AH298" i="32"/>
  <c r="AF298" i="32"/>
  <c r="AC298" i="32"/>
  <c r="I298" i="32"/>
  <c r="BJ297" i="32"/>
  <c r="BH297" i="32"/>
  <c r="BE297" i="32"/>
  <c r="BC297" i="32" s="1"/>
  <c r="AW297" i="32"/>
  <c r="AU297" i="32"/>
  <c r="AR297" i="32"/>
  <c r="AX297" i="32" s="1"/>
  <c r="AH297" i="32"/>
  <c r="AF297" i="32"/>
  <c r="AC297" i="32"/>
  <c r="I297" i="32"/>
  <c r="BJ296" i="32"/>
  <c r="BH296" i="32"/>
  <c r="BE296" i="32"/>
  <c r="BC296" i="32" s="1"/>
  <c r="AW296" i="32"/>
  <c r="AU296" i="32"/>
  <c r="AR296" i="32"/>
  <c r="AX296" i="32" s="1"/>
  <c r="AH296" i="32"/>
  <c r="AF296" i="32"/>
  <c r="AC296" i="32"/>
  <c r="I296" i="32"/>
  <c r="BJ295" i="32"/>
  <c r="BH295" i="32"/>
  <c r="BE295" i="32"/>
  <c r="BC295" i="32" s="1"/>
  <c r="AW295" i="32"/>
  <c r="AU295" i="32"/>
  <c r="AR295" i="32"/>
  <c r="AX295" i="32" s="1"/>
  <c r="AH295" i="32"/>
  <c r="AF295" i="32"/>
  <c r="AC295" i="32"/>
  <c r="I295" i="32"/>
  <c r="BJ294" i="32"/>
  <c r="BH294" i="32"/>
  <c r="BE294" i="32"/>
  <c r="BC294" i="32" s="1"/>
  <c r="AW294" i="32"/>
  <c r="AU294" i="32"/>
  <c r="AR294" i="32"/>
  <c r="AX294" i="32" s="1"/>
  <c r="AH294" i="32"/>
  <c r="AF294" i="32"/>
  <c r="AD294" i="32" s="1"/>
  <c r="AC294" i="32"/>
  <c r="I294" i="32"/>
  <c r="BJ293" i="32"/>
  <c r="BH293" i="32"/>
  <c r="BE293" i="32"/>
  <c r="BC293" i="32" s="1"/>
  <c r="AW293" i="32"/>
  <c r="AU293" i="32"/>
  <c r="AR293" i="32"/>
  <c r="AX293" i="32" s="1"/>
  <c r="AH293" i="32"/>
  <c r="AF293" i="32"/>
  <c r="AC293" i="32"/>
  <c r="I293" i="32"/>
  <c r="BJ292" i="32"/>
  <c r="BH292" i="32"/>
  <c r="BE292" i="32"/>
  <c r="BC292" i="32" s="1"/>
  <c r="AW292" i="32"/>
  <c r="AU292" i="32"/>
  <c r="AR292" i="32"/>
  <c r="AX292" i="32" s="1"/>
  <c r="AH292" i="32"/>
  <c r="AF292" i="32"/>
  <c r="AC292" i="32"/>
  <c r="I292" i="32"/>
  <c r="BJ291" i="32"/>
  <c r="BH291" i="32"/>
  <c r="BE291" i="32"/>
  <c r="BC291" i="32" s="1"/>
  <c r="AW291" i="32"/>
  <c r="AU291" i="32"/>
  <c r="AR291" i="32"/>
  <c r="AN291" i="32" s="1"/>
  <c r="AH291" i="32"/>
  <c r="AF291" i="32"/>
  <c r="AC291" i="32"/>
  <c r="I291" i="32"/>
  <c r="BJ290" i="32"/>
  <c r="BH290" i="32"/>
  <c r="BE290" i="32"/>
  <c r="BC290" i="32" s="1"/>
  <c r="AW290" i="32"/>
  <c r="AU290" i="32"/>
  <c r="AR290" i="32"/>
  <c r="AX290" i="32" s="1"/>
  <c r="AH290" i="32"/>
  <c r="AF290" i="32"/>
  <c r="AC290" i="32"/>
  <c r="I290" i="32"/>
  <c r="BJ289" i="32"/>
  <c r="BH289" i="32"/>
  <c r="BF289" i="32" s="1"/>
  <c r="BE289" i="32"/>
  <c r="BC289" i="32" s="1"/>
  <c r="AW289" i="32"/>
  <c r="AU289" i="32"/>
  <c r="AR289" i="32"/>
  <c r="AX289" i="32" s="1"/>
  <c r="AH289" i="32"/>
  <c r="AF289" i="32"/>
  <c r="AC289" i="32"/>
  <c r="I289" i="32"/>
  <c r="BJ288" i="32"/>
  <c r="BH288" i="32"/>
  <c r="BE288" i="32"/>
  <c r="BC288" i="32" s="1"/>
  <c r="AW288" i="32"/>
  <c r="AU288" i="32"/>
  <c r="AR288" i="32"/>
  <c r="AX288" i="32" s="1"/>
  <c r="AH288" i="32"/>
  <c r="AF288" i="32"/>
  <c r="AC288" i="32"/>
  <c r="I288" i="32"/>
  <c r="BJ287" i="32"/>
  <c r="BH287" i="32"/>
  <c r="BE287" i="32"/>
  <c r="BC287" i="32" s="1"/>
  <c r="AW287" i="32"/>
  <c r="AU287" i="32"/>
  <c r="AR287" i="32"/>
  <c r="AX287" i="32" s="1"/>
  <c r="AH287" i="32"/>
  <c r="AF287" i="32"/>
  <c r="AC287" i="32"/>
  <c r="I287" i="32"/>
  <c r="BJ286" i="32"/>
  <c r="BH286" i="32"/>
  <c r="BE286" i="32"/>
  <c r="BC286" i="32" s="1"/>
  <c r="AW286" i="32"/>
  <c r="AU286" i="32"/>
  <c r="AR286" i="32"/>
  <c r="AX286" i="32" s="1"/>
  <c r="AH286" i="32"/>
  <c r="AF286" i="32"/>
  <c r="AC286" i="32"/>
  <c r="I286" i="32"/>
  <c r="BJ285" i="32"/>
  <c r="BH285" i="32"/>
  <c r="BE285" i="32"/>
  <c r="BC285" i="32" s="1"/>
  <c r="AW285" i="32"/>
  <c r="AU285" i="32"/>
  <c r="AR285" i="32"/>
  <c r="AX285" i="32" s="1"/>
  <c r="AH285" i="32"/>
  <c r="AF285" i="32"/>
  <c r="AC285" i="32"/>
  <c r="I285" i="32"/>
  <c r="BJ284" i="32"/>
  <c r="BH284" i="32"/>
  <c r="BE284" i="32"/>
  <c r="BC284" i="32" s="1"/>
  <c r="AW284" i="32"/>
  <c r="AU284" i="32"/>
  <c r="AR284" i="32"/>
  <c r="AX284" i="32" s="1"/>
  <c r="AH284" i="32"/>
  <c r="AF284" i="32"/>
  <c r="AC284" i="32"/>
  <c r="I284" i="32"/>
  <c r="BJ283" i="32"/>
  <c r="BH283" i="32"/>
  <c r="BE283" i="32"/>
  <c r="BC283" i="32" s="1"/>
  <c r="AW283" i="32"/>
  <c r="AU283" i="32"/>
  <c r="AR283" i="32"/>
  <c r="AX283" i="32" s="1"/>
  <c r="AH283" i="32"/>
  <c r="AF283" i="32"/>
  <c r="AC283" i="32"/>
  <c r="I283" i="32"/>
  <c r="BJ282" i="32"/>
  <c r="BH282" i="32"/>
  <c r="BE282" i="32"/>
  <c r="BC282" i="32" s="1"/>
  <c r="AW282" i="32"/>
  <c r="AU282" i="32"/>
  <c r="AR282" i="32"/>
  <c r="AX282" i="32" s="1"/>
  <c r="AH282" i="32"/>
  <c r="AF282" i="32"/>
  <c r="AD282" i="32" s="1"/>
  <c r="AC282" i="32"/>
  <c r="I282" i="32"/>
  <c r="BJ281" i="32"/>
  <c r="BH281" i="32"/>
  <c r="BF281" i="32" s="1"/>
  <c r="BE281" i="32"/>
  <c r="BC281" i="32" s="1"/>
  <c r="AW281" i="32"/>
  <c r="AU281" i="32"/>
  <c r="AS281" i="32"/>
  <c r="AR281" i="32"/>
  <c r="AX281" i="32" s="1"/>
  <c r="AH281" i="32"/>
  <c r="AF281" i="32"/>
  <c r="AD281" i="32" s="1"/>
  <c r="AC281" i="32"/>
  <c r="I281" i="32"/>
  <c r="BJ280" i="32"/>
  <c r="BH280" i="32"/>
  <c r="BF280" i="32" s="1"/>
  <c r="BE280" i="32"/>
  <c r="BC280" i="32" s="1"/>
  <c r="AW280" i="32"/>
  <c r="AU280" i="32"/>
  <c r="AR280" i="32"/>
  <c r="AX280" i="32" s="1"/>
  <c r="AH280" i="32"/>
  <c r="AF280" i="32"/>
  <c r="AC280" i="32"/>
  <c r="I280" i="32"/>
  <c r="BJ279" i="32"/>
  <c r="BH279" i="32"/>
  <c r="BE279" i="32"/>
  <c r="BC279" i="32" s="1"/>
  <c r="AW279" i="32"/>
  <c r="AU279" i="32"/>
  <c r="AS279" i="32" s="1"/>
  <c r="AR279" i="32"/>
  <c r="AX279" i="32" s="1"/>
  <c r="AN279" i="32"/>
  <c r="AH279" i="32"/>
  <c r="AF279" i="32"/>
  <c r="AC279" i="32"/>
  <c r="I279" i="32"/>
  <c r="BJ278" i="32"/>
  <c r="BH278" i="32"/>
  <c r="BE278" i="32"/>
  <c r="BC278" i="32" s="1"/>
  <c r="AW278" i="32"/>
  <c r="AT278" i="32"/>
  <c r="AU278" i="32" s="1"/>
  <c r="AS278" i="32" s="1"/>
  <c r="AR278" i="32"/>
  <c r="AX278" i="32" s="1"/>
  <c r="AH278" i="32"/>
  <c r="AF278" i="32"/>
  <c r="I278" i="32"/>
  <c r="BJ277" i="32"/>
  <c r="BH277" i="32"/>
  <c r="BE277" i="32"/>
  <c r="BC277" i="32" s="1"/>
  <c r="AW277" i="32"/>
  <c r="AU277" i="32"/>
  <c r="AR277" i="32"/>
  <c r="AX277" i="32" s="1"/>
  <c r="AH277" i="32"/>
  <c r="AF277" i="32"/>
  <c r="AC277" i="32"/>
  <c r="I277" i="32"/>
  <c r="BJ276" i="32"/>
  <c r="BH276" i="32"/>
  <c r="BE276" i="32"/>
  <c r="BC276" i="32" s="1"/>
  <c r="AW276" i="32"/>
  <c r="AU276" i="32"/>
  <c r="AR276" i="32"/>
  <c r="AX276" i="32" s="1"/>
  <c r="AH276" i="32"/>
  <c r="AF276" i="32"/>
  <c r="AC276" i="32"/>
  <c r="I276" i="32"/>
  <c r="BJ275" i="32"/>
  <c r="BH275" i="32"/>
  <c r="BE275" i="32"/>
  <c r="BC275" i="32" s="1"/>
  <c r="AW275" i="32"/>
  <c r="AU275" i="32"/>
  <c r="AR275" i="32"/>
  <c r="AX275" i="32" s="1"/>
  <c r="AH275" i="32"/>
  <c r="AF275" i="32"/>
  <c r="AC275" i="32"/>
  <c r="I275" i="32"/>
  <c r="BJ274" i="32"/>
  <c r="BH274" i="32"/>
  <c r="BE274" i="32"/>
  <c r="BC274" i="32" s="1"/>
  <c r="AW274" i="32"/>
  <c r="AU274" i="32"/>
  <c r="AR274" i="32"/>
  <c r="AX274" i="32" s="1"/>
  <c r="AH274" i="32"/>
  <c r="AF274" i="32"/>
  <c r="AC274" i="32"/>
  <c r="I274" i="32"/>
  <c r="BJ273" i="32"/>
  <c r="BH273" i="32"/>
  <c r="BE273" i="32"/>
  <c r="BC273" i="32" s="1"/>
  <c r="AR273" i="32"/>
  <c r="AX273" i="32" s="1"/>
  <c r="AH273" i="32"/>
  <c r="AF273" i="32"/>
  <c r="AC273" i="32"/>
  <c r="I273" i="32"/>
  <c r="BT272" i="32"/>
  <c r="BS272" i="32"/>
  <c r="BS271" i="32" s="1"/>
  <c r="BR272" i="32"/>
  <c r="BR271" i="32" s="1"/>
  <c r="BQ272" i="32"/>
  <c r="BQ271" i="32" s="1"/>
  <c r="BP272" i="32"/>
  <c r="BP271" i="32" s="1"/>
  <c r="BO272" i="32"/>
  <c r="BO271" i="32" s="1"/>
  <c r="BN272" i="32"/>
  <c r="BN271" i="32" s="1"/>
  <c r="BM272" i="32"/>
  <c r="BM271" i="32" s="1"/>
  <c r="BL272" i="32"/>
  <c r="BL271" i="32" s="1"/>
  <c r="BK272" i="32"/>
  <c r="BK271" i="32" s="1"/>
  <c r="BI272" i="32"/>
  <c r="BI271" i="32" s="1"/>
  <c r="BG272" i="32"/>
  <c r="BG271" i="32" s="1"/>
  <c r="AZ272" i="32"/>
  <c r="AZ271" i="32" s="1"/>
  <c r="AY272" i="32"/>
  <c r="AY271" i="32" s="1"/>
  <c r="AT272" i="32"/>
  <c r="AT271" i="32" s="1"/>
  <c r="AG272" i="32"/>
  <c r="AG271" i="32" s="1"/>
  <c r="AE272" i="32"/>
  <c r="AE271" i="32" s="1"/>
  <c r="T272" i="32"/>
  <c r="T271" i="32" s="1"/>
  <c r="M272" i="32"/>
  <c r="M271" i="32" s="1"/>
  <c r="G272" i="32"/>
  <c r="G271" i="32" s="1"/>
  <c r="F272" i="32"/>
  <c r="F271" i="32" s="1"/>
  <c r="BT271" i="32"/>
  <c r="BE270" i="32"/>
  <c r="BK270" i="32" s="1"/>
  <c r="BK266" i="32" s="1"/>
  <c r="AV270" i="32"/>
  <c r="AR270" i="32" s="1"/>
  <c r="AU270" i="32"/>
  <c r="AS270" i="32" s="1"/>
  <c r="AH270" i="32"/>
  <c r="AD270" i="32" s="1"/>
  <c r="AC270" i="32"/>
  <c r="BJ269" i="32"/>
  <c r="BH269" i="32"/>
  <c r="BE269" i="32"/>
  <c r="BC269" i="32" s="1"/>
  <c r="AV269" i="32"/>
  <c r="AW269" i="32" s="1"/>
  <c r="AU269" i="32"/>
  <c r="AI269" i="32"/>
  <c r="AH269" i="32"/>
  <c r="AF269" i="32"/>
  <c r="AC269" i="32"/>
  <c r="BJ268" i="32"/>
  <c r="BH268" i="32"/>
  <c r="BE268" i="32"/>
  <c r="BC268" i="32" s="1"/>
  <c r="AW268" i="32"/>
  <c r="AU268" i="32"/>
  <c r="AR268" i="32"/>
  <c r="AX268" i="32" s="1"/>
  <c r="AH268" i="32"/>
  <c r="AF268" i="32"/>
  <c r="AC268" i="32"/>
  <c r="BJ267" i="32"/>
  <c r="BH267" i="32"/>
  <c r="BE267" i="32"/>
  <c r="BC267" i="32" s="1"/>
  <c r="AR267" i="32"/>
  <c r="AN267" i="32" s="1"/>
  <c r="AH267" i="32"/>
  <c r="AF267" i="32"/>
  <c r="AC267" i="32"/>
  <c r="BM266" i="32"/>
  <c r="BL266" i="32"/>
  <c r="BI266" i="32"/>
  <c r="BG266" i="32"/>
  <c r="AZ266" i="32"/>
  <c r="AY266" i="32"/>
  <c r="AT266" i="32"/>
  <c r="AG266" i="32"/>
  <c r="AE266" i="32"/>
  <c r="M266" i="32"/>
  <c r="G266" i="32"/>
  <c r="F266" i="32"/>
  <c r="AV265" i="32"/>
  <c r="AW265" i="32" s="1"/>
  <c r="AU265" i="32"/>
  <c r="AH265" i="32"/>
  <c r="AF265" i="32"/>
  <c r="AC265" i="32"/>
  <c r="AW264" i="32"/>
  <c r="AU264" i="32"/>
  <c r="AR264" i="32"/>
  <c r="AX264" i="32" s="1"/>
  <c r="AH264" i="32"/>
  <c r="AF264" i="32"/>
  <c r="AU263" i="32"/>
  <c r="AH263" i="32"/>
  <c r="AF263" i="32"/>
  <c r="AC263" i="32"/>
  <c r="AW262" i="32"/>
  <c r="AU262" i="32"/>
  <c r="AR262" i="32"/>
  <c r="AX262" i="32" s="1"/>
  <c r="AH262" i="32"/>
  <c r="AF262" i="32"/>
  <c r="AV261" i="32"/>
  <c r="AW261" i="32" s="1"/>
  <c r="AU261" i="32"/>
  <c r="AH261" i="32"/>
  <c r="AF261" i="32"/>
  <c r="AC261" i="32"/>
  <c r="AW260" i="32"/>
  <c r="AU260" i="32"/>
  <c r="AR260" i="32"/>
  <c r="AN260" i="32" s="1"/>
  <c r="AH260" i="32"/>
  <c r="AF260" i="32"/>
  <c r="AC260" i="32"/>
  <c r="AV259" i="32"/>
  <c r="AW259" i="32" s="1"/>
  <c r="AU259" i="32"/>
  <c r="AR259" i="32"/>
  <c r="AX259" i="32" s="1"/>
  <c r="AH259" i="32"/>
  <c r="AF259" i="32"/>
  <c r="AC259" i="32"/>
  <c r="AW258" i="32"/>
  <c r="AU258" i="32"/>
  <c r="AR258" i="32"/>
  <c r="AX258" i="32" s="1"/>
  <c r="AH258" i="32"/>
  <c r="AF258" i="32"/>
  <c r="AW257" i="32"/>
  <c r="AU257" i="32"/>
  <c r="AR257" i="32"/>
  <c r="AX257" i="32" s="1"/>
  <c r="AH257" i="32"/>
  <c r="AF257" i="32"/>
  <c r="AC257" i="32"/>
  <c r="AU256" i="32"/>
  <c r="AR256" i="32"/>
  <c r="AX256" i="32" s="1"/>
  <c r="AH256" i="32"/>
  <c r="AF256" i="32"/>
  <c r="AW255" i="32"/>
  <c r="AU255" i="32"/>
  <c r="AR255" i="32"/>
  <c r="AX255" i="32" s="1"/>
  <c r="AH255" i="32"/>
  <c r="AF255" i="32"/>
  <c r="AC255" i="32"/>
  <c r="AW254" i="32"/>
  <c r="AU254" i="32"/>
  <c r="AR254" i="32"/>
  <c r="AX254" i="32" s="1"/>
  <c r="AH254" i="32"/>
  <c r="AF254" i="32"/>
  <c r="BJ253" i="32"/>
  <c r="BG253" i="32"/>
  <c r="BH253" i="32" s="1"/>
  <c r="AV253" i="32"/>
  <c r="AW253" i="32" s="1"/>
  <c r="AU253" i="32"/>
  <c r="AH253" i="32"/>
  <c r="AF253" i="32"/>
  <c r="AC253" i="32"/>
  <c r="BJ252" i="32"/>
  <c r="BH252" i="32"/>
  <c r="BE252" i="32"/>
  <c r="BC252" i="32" s="1"/>
  <c r="AW252" i="32"/>
  <c r="AU252" i="32"/>
  <c r="AR252" i="32"/>
  <c r="AX252" i="32" s="1"/>
  <c r="AH252" i="32"/>
  <c r="AF252" i="32"/>
  <c r="BJ251" i="32"/>
  <c r="BH251" i="32"/>
  <c r="BE251" i="32"/>
  <c r="BC251" i="32" s="1"/>
  <c r="AW251" i="32"/>
  <c r="AU251" i="32"/>
  <c r="AR251" i="32"/>
  <c r="AX251" i="32" s="1"/>
  <c r="AH251" i="32"/>
  <c r="AF251" i="32"/>
  <c r="AC251" i="32"/>
  <c r="BJ250" i="32"/>
  <c r="BH250" i="32"/>
  <c r="BE250" i="32"/>
  <c r="BC250" i="32" s="1"/>
  <c r="AW250" i="32"/>
  <c r="AU250" i="32"/>
  <c r="AR250" i="32"/>
  <c r="AN250" i="32" s="1"/>
  <c r="AH250" i="32"/>
  <c r="AF250" i="32"/>
  <c r="AC250" i="32"/>
  <c r="I250" i="32"/>
  <c r="BJ249" i="32"/>
  <c r="BH249" i="32"/>
  <c r="BE249" i="32"/>
  <c r="BC249" i="32" s="1"/>
  <c r="AR249" i="32"/>
  <c r="AX249" i="32" s="1"/>
  <c r="AH249" i="32"/>
  <c r="AF249" i="32"/>
  <c r="AC249" i="32"/>
  <c r="I249" i="32"/>
  <c r="I247" i="32" s="1"/>
  <c r="BC248" i="32"/>
  <c r="AV248" i="32"/>
  <c r="AH248" i="32"/>
  <c r="AD248" i="32" s="1"/>
  <c r="BT247" i="32"/>
  <c r="BT246" i="32" s="1"/>
  <c r="BS247" i="32"/>
  <c r="BS246" i="32" s="1"/>
  <c r="BR247" i="32"/>
  <c r="BR246" i="32" s="1"/>
  <c r="BQ247" i="32"/>
  <c r="BQ246" i="32" s="1"/>
  <c r="BP247" i="32"/>
  <c r="BP246" i="32" s="1"/>
  <c r="BO247" i="32"/>
  <c r="BO246" i="32" s="1"/>
  <c r="BN247" i="32"/>
  <c r="BN246" i="32" s="1"/>
  <c r="BM247" i="32"/>
  <c r="BL247" i="32"/>
  <c r="BI247" i="32"/>
  <c r="BD247" i="32"/>
  <c r="BB247" i="32"/>
  <c r="BB27" i="32" s="1"/>
  <c r="BA247" i="32"/>
  <c r="AZ247" i="32"/>
  <c r="AZ246" i="32" s="1"/>
  <c r="AY247" i="32"/>
  <c r="AT247" i="32"/>
  <c r="AT246" i="32" s="1"/>
  <c r="AG247" i="32"/>
  <c r="AE247" i="32"/>
  <c r="T247" i="32"/>
  <c r="T246" i="32" s="1"/>
  <c r="R247" i="32"/>
  <c r="R27" i="32" s="1"/>
  <c r="Q247" i="32"/>
  <c r="P247" i="32"/>
  <c r="P27" i="32" s="1"/>
  <c r="O247" i="32"/>
  <c r="M247" i="32"/>
  <c r="L247" i="32"/>
  <c r="K247" i="32"/>
  <c r="J247" i="32"/>
  <c r="H247" i="32"/>
  <c r="G247" i="32"/>
  <c r="F247" i="32"/>
  <c r="B246" i="32"/>
  <c r="BJ245" i="32"/>
  <c r="BH245" i="32"/>
  <c r="BE245" i="32"/>
  <c r="BC245" i="32" s="1"/>
  <c r="AW245" i="32"/>
  <c r="AT245" i="32"/>
  <c r="AU245" i="32" s="1"/>
  <c r="AH245" i="32"/>
  <c r="AF245" i="32"/>
  <c r="AC245" i="32"/>
  <c r="BJ244" i="32"/>
  <c r="BH244" i="32"/>
  <c r="BE244" i="32"/>
  <c r="BC244" i="32" s="1"/>
  <c r="AW244" i="32"/>
  <c r="AU244" i="32"/>
  <c r="AR244" i="32"/>
  <c r="AN244" i="32" s="1"/>
  <c r="AH244" i="32"/>
  <c r="AF244" i="32"/>
  <c r="AC244" i="32"/>
  <c r="BJ243" i="32"/>
  <c r="BH243" i="32"/>
  <c r="BE243" i="32"/>
  <c r="BC243" i="32" s="1"/>
  <c r="AW243" i="32"/>
  <c r="AU243" i="32"/>
  <c r="AR243" i="32"/>
  <c r="AN243" i="32" s="1"/>
  <c r="AH243" i="32"/>
  <c r="AF243" i="32"/>
  <c r="AC243" i="32"/>
  <c r="BJ242" i="32"/>
  <c r="BH242" i="32"/>
  <c r="BE242" i="32"/>
  <c r="BK242" i="32" s="1"/>
  <c r="BK233" i="32" s="1"/>
  <c r="BK232" i="32" s="1"/>
  <c r="AW242" i="32"/>
  <c r="AU242" i="32"/>
  <c r="AR242" i="32"/>
  <c r="AH242" i="32"/>
  <c r="AF242" i="32"/>
  <c r="AC242" i="32"/>
  <c r="BJ241" i="32"/>
  <c r="BH241" i="32"/>
  <c r="BE241" i="32"/>
  <c r="BC241" i="32" s="1"/>
  <c r="AW241" i="32"/>
  <c r="AU241" i="32"/>
  <c r="AR241" i="32"/>
  <c r="AX241" i="32" s="1"/>
  <c r="AH241" i="32"/>
  <c r="AF241" i="32"/>
  <c r="AC241" i="32"/>
  <c r="BJ240" i="32"/>
  <c r="BH240" i="32"/>
  <c r="BE240" i="32"/>
  <c r="BC240" i="32" s="1"/>
  <c r="AW240" i="32"/>
  <c r="AT240" i="32"/>
  <c r="AH240" i="32"/>
  <c r="AF240" i="32"/>
  <c r="AC240" i="32"/>
  <c r="I240" i="32"/>
  <c r="BJ239" i="32"/>
  <c r="BH239" i="32"/>
  <c r="BE239" i="32"/>
  <c r="BC239" i="32" s="1"/>
  <c r="AW239" i="32"/>
  <c r="AT239" i="32"/>
  <c r="AU239" i="32" s="1"/>
  <c r="AH239" i="32"/>
  <c r="I239" i="32"/>
  <c r="BJ238" i="32"/>
  <c r="BH238" i="32"/>
  <c r="BE238" i="32"/>
  <c r="BC238" i="32" s="1"/>
  <c r="AW238" i="32"/>
  <c r="AU238" i="32"/>
  <c r="AR238" i="32"/>
  <c r="AX238" i="32" s="1"/>
  <c r="AH238" i="32"/>
  <c r="I238" i="32"/>
  <c r="BJ237" i="32"/>
  <c r="BH237" i="32"/>
  <c r="BE237" i="32"/>
  <c r="AW237" i="32"/>
  <c r="AU237" i="32"/>
  <c r="AR237" i="32"/>
  <c r="AX237" i="32" s="1"/>
  <c r="AH237" i="32"/>
  <c r="I237" i="32"/>
  <c r="BJ236" i="32"/>
  <c r="BH236" i="32"/>
  <c r="BE236" i="32"/>
  <c r="BC236" i="32" s="1"/>
  <c r="AW236" i="32"/>
  <c r="AT236" i="32"/>
  <c r="AH236" i="32"/>
  <c r="AF236" i="32"/>
  <c r="AC236" i="32"/>
  <c r="I236" i="32"/>
  <c r="BJ235" i="32"/>
  <c r="BH235" i="32"/>
  <c r="BE235" i="32"/>
  <c r="BC235" i="32" s="1"/>
  <c r="AW235" i="32"/>
  <c r="AT235" i="32"/>
  <c r="AU235" i="32" s="1"/>
  <c r="AH235" i="32"/>
  <c r="I235" i="32"/>
  <c r="BJ234" i="32"/>
  <c r="BH234" i="32"/>
  <c r="BE234" i="32"/>
  <c r="BC234" i="32" s="1"/>
  <c r="AR234" i="32"/>
  <c r="AH234" i="32"/>
  <c r="AF234" i="32"/>
  <c r="AC234" i="32"/>
  <c r="I234" i="32"/>
  <c r="BT233" i="32"/>
  <c r="BT232" i="32" s="1"/>
  <c r="BS233" i="32"/>
  <c r="BS232" i="32" s="1"/>
  <c r="BR233" i="32"/>
  <c r="BR232" i="32" s="1"/>
  <c r="BQ233" i="32"/>
  <c r="BQ232" i="32" s="1"/>
  <c r="BP233" i="32"/>
  <c r="BP232" i="32" s="1"/>
  <c r="BO233" i="32"/>
  <c r="BO232" i="32" s="1"/>
  <c r="BN233" i="32"/>
  <c r="BM233" i="32"/>
  <c r="BM232" i="32" s="1"/>
  <c r="BL233" i="32"/>
  <c r="BL232" i="32" s="1"/>
  <c r="BI233" i="32"/>
  <c r="BI232" i="32" s="1"/>
  <c r="BG233" i="32"/>
  <c r="BG232" i="32" s="1"/>
  <c r="AZ233" i="32"/>
  <c r="AZ232" i="32" s="1"/>
  <c r="AY233" i="32"/>
  <c r="AY232" i="32" s="1"/>
  <c r="AV233" i="32"/>
  <c r="AV232" i="32" s="1"/>
  <c r="AG233" i="32"/>
  <c r="T233" i="32"/>
  <c r="T232" i="32" s="1"/>
  <c r="M233" i="32"/>
  <c r="M232" i="32" s="1"/>
  <c r="G233" i="32"/>
  <c r="G232" i="32" s="1"/>
  <c r="F233" i="32"/>
  <c r="F232" i="32" s="1"/>
  <c r="BN232" i="32"/>
  <c r="AG232" i="32"/>
  <c r="BJ231" i="32"/>
  <c r="BG231" i="32"/>
  <c r="BH231" i="32" s="1"/>
  <c r="AV231" i="32"/>
  <c r="AW231" i="32" s="1"/>
  <c r="AU231" i="32"/>
  <c r="AH231" i="32"/>
  <c r="AF231" i="32"/>
  <c r="AC231" i="32"/>
  <c r="BJ230" i="32"/>
  <c r="BH230" i="32"/>
  <c r="BE230" i="32"/>
  <c r="BK230" i="32" s="1"/>
  <c r="AV230" i="32"/>
  <c r="AW230" i="32" s="1"/>
  <c r="AU230" i="32"/>
  <c r="AH230" i="32"/>
  <c r="AF230" i="32"/>
  <c r="AC230" i="32"/>
  <c r="BJ229" i="32"/>
  <c r="BH229" i="32"/>
  <c r="BE229" i="32"/>
  <c r="AV229" i="32"/>
  <c r="AW229" i="32" s="1"/>
  <c r="AU229" i="32"/>
  <c r="AR229" i="32"/>
  <c r="AX229" i="32" s="1"/>
  <c r="AH229" i="32"/>
  <c r="AF229" i="32"/>
  <c r="AC229" i="32"/>
  <c r="BJ228" i="32"/>
  <c r="BH228" i="32"/>
  <c r="BE228" i="32"/>
  <c r="BK228" i="32" s="1"/>
  <c r="AV228" i="32"/>
  <c r="AW228" i="32" s="1"/>
  <c r="AU228" i="32"/>
  <c r="AR228" i="32"/>
  <c r="AX228" i="32" s="1"/>
  <c r="AH228" i="32"/>
  <c r="AF228" i="32"/>
  <c r="AC228" i="32"/>
  <c r="BJ227" i="32"/>
  <c r="BH227" i="32"/>
  <c r="BE227" i="32"/>
  <c r="BK227" i="32" s="1"/>
  <c r="AV227" i="32"/>
  <c r="AW227" i="32" s="1"/>
  <c r="AU227" i="32"/>
  <c r="AH227" i="32"/>
  <c r="AF227" i="32"/>
  <c r="AC227" i="32"/>
  <c r="BJ226" i="32"/>
  <c r="BH226" i="32"/>
  <c r="BE226" i="32"/>
  <c r="AV226" i="32"/>
  <c r="AW226" i="32" s="1"/>
  <c r="AU226" i="32"/>
  <c r="AH226" i="32"/>
  <c r="AF226" i="32"/>
  <c r="AC226" i="32"/>
  <c r="BJ225" i="32"/>
  <c r="BH225" i="32"/>
  <c r="BE225" i="32"/>
  <c r="BK225" i="32" s="1"/>
  <c r="AV225" i="32"/>
  <c r="AW225" i="32" s="1"/>
  <c r="AU225" i="32"/>
  <c r="AR225" i="32"/>
  <c r="AH225" i="32"/>
  <c r="AF225" i="32"/>
  <c r="AC225" i="32"/>
  <c r="BJ224" i="32"/>
  <c r="BH224" i="32"/>
  <c r="BE224" i="32"/>
  <c r="BK224" i="32" s="1"/>
  <c r="AV224" i="32"/>
  <c r="AW224" i="32" s="1"/>
  <c r="AU224" i="32"/>
  <c r="AR224" i="32"/>
  <c r="AX224" i="32" s="1"/>
  <c r="AH224" i="32"/>
  <c r="AF224" i="32"/>
  <c r="AC224" i="32"/>
  <c r="BJ223" i="32"/>
  <c r="BH223" i="32"/>
  <c r="BE223" i="32"/>
  <c r="BK223" i="32" s="1"/>
  <c r="AF223" i="32"/>
  <c r="AC223" i="32"/>
  <c r="BJ222" i="32"/>
  <c r="BH222" i="32"/>
  <c r="BE222" i="32"/>
  <c r="BK222" i="32" s="1"/>
  <c r="AF222" i="32"/>
  <c r="AC222" i="32"/>
  <c r="BJ221" i="32"/>
  <c r="BH221" i="32"/>
  <c r="BE221" i="32"/>
  <c r="BK221" i="32" s="1"/>
  <c r="AF221" i="32"/>
  <c r="AC221" i="32"/>
  <c r="BJ220" i="32"/>
  <c r="BH220" i="32"/>
  <c r="BE220" i="32"/>
  <c r="AN220" i="32"/>
  <c r="AF220" i="32"/>
  <c r="AC220" i="32"/>
  <c r="I220" i="32"/>
  <c r="BJ219" i="32"/>
  <c r="BH219" i="32"/>
  <c r="BE219" i="32"/>
  <c r="BK219" i="32" s="1"/>
  <c r="AN219" i="32"/>
  <c r="AF219" i="32"/>
  <c r="AC219" i="32"/>
  <c r="I219" i="32"/>
  <c r="BJ218" i="32"/>
  <c r="BH218" i="32"/>
  <c r="BE218" i="32"/>
  <c r="BK218" i="32" s="1"/>
  <c r="AW218" i="32"/>
  <c r="AU218" i="32"/>
  <c r="AR218" i="32"/>
  <c r="AX218" i="32" s="1"/>
  <c r="AH218" i="32"/>
  <c r="AF218" i="32"/>
  <c r="I218" i="32"/>
  <c r="BJ217" i="32"/>
  <c r="BH217" i="32"/>
  <c r="BE217" i="32"/>
  <c r="BC217" i="32" s="1"/>
  <c r="AW217" i="32"/>
  <c r="AU217" i="32"/>
  <c r="AR217" i="32"/>
  <c r="AN217" i="32" s="1"/>
  <c r="AH217" i="32"/>
  <c r="AF217" i="32"/>
  <c r="AC217" i="32"/>
  <c r="I217" i="32"/>
  <c r="BJ216" i="32"/>
  <c r="BH216" i="32"/>
  <c r="BE216" i="32"/>
  <c r="BC216" i="32" s="1"/>
  <c r="AW216" i="32"/>
  <c r="AU216" i="32"/>
  <c r="AR216" i="32"/>
  <c r="AN216" i="32" s="1"/>
  <c r="AH216" i="32"/>
  <c r="AF216" i="32"/>
  <c r="AC216" i="32"/>
  <c r="I216" i="32"/>
  <c r="BJ215" i="32"/>
  <c r="BH215" i="32"/>
  <c r="BE215" i="32"/>
  <c r="BC215" i="32" s="1"/>
  <c r="AW215" i="32"/>
  <c r="AU215" i="32"/>
  <c r="AR215" i="32"/>
  <c r="AN215" i="32" s="1"/>
  <c r="AH215" i="32"/>
  <c r="AF215" i="32"/>
  <c r="AC215" i="32"/>
  <c r="I215" i="32"/>
  <c r="BJ214" i="32"/>
  <c r="BH214" i="32"/>
  <c r="BE214" i="32"/>
  <c r="BC214" i="32" s="1"/>
  <c r="AW214" i="32"/>
  <c r="AU214" i="32"/>
  <c r="AR214" i="32"/>
  <c r="AN214" i="32" s="1"/>
  <c r="AH214" i="32"/>
  <c r="AF214" i="32"/>
  <c r="AC214" i="32"/>
  <c r="I214" i="32"/>
  <c r="BJ213" i="32"/>
  <c r="BH213" i="32"/>
  <c r="BE213" i="32"/>
  <c r="BC213" i="32" s="1"/>
  <c r="AW213" i="32"/>
  <c r="AU213" i="32"/>
  <c r="AR213" i="32"/>
  <c r="AN213" i="32" s="1"/>
  <c r="AH213" i="32"/>
  <c r="AF213" i="32"/>
  <c r="AC213" i="32"/>
  <c r="I213" i="32"/>
  <c r="BJ212" i="32"/>
  <c r="BH212" i="32"/>
  <c r="BE212" i="32"/>
  <c r="BC212" i="32" s="1"/>
  <c r="AW212" i="32"/>
  <c r="AU212" i="32"/>
  <c r="AR212" i="32"/>
  <c r="AN212" i="32" s="1"/>
  <c r="AH212" i="32"/>
  <c r="AF212" i="32"/>
  <c r="AC212" i="32"/>
  <c r="I212" i="32"/>
  <c r="BJ211" i="32"/>
  <c r="BH211" i="32"/>
  <c r="BE211" i="32"/>
  <c r="BC211" i="32" s="1"/>
  <c r="AR211" i="32"/>
  <c r="AN211" i="32" s="1"/>
  <c r="AH211" i="32"/>
  <c r="AF211" i="32"/>
  <c r="AC211" i="32"/>
  <c r="I211" i="32"/>
  <c r="BT210" i="32"/>
  <c r="BS210" i="32"/>
  <c r="BR210" i="32"/>
  <c r="BQ210" i="32"/>
  <c r="BP210" i="32"/>
  <c r="BO210" i="32"/>
  <c r="BN210" i="32"/>
  <c r="BM210" i="32"/>
  <c r="BM209" i="32" s="1"/>
  <c r="BL210" i="32"/>
  <c r="BL209" i="32" s="1"/>
  <c r="BI210" i="32"/>
  <c r="BI209" i="32" s="1"/>
  <c r="BG210" i="32"/>
  <c r="BG209" i="32" s="1"/>
  <c r="AZ210" i="32"/>
  <c r="AZ209" i="32" s="1"/>
  <c r="AY210" i="32"/>
  <c r="AY209" i="32" s="1"/>
  <c r="AT210" i="32"/>
  <c r="AT209" i="32" s="1"/>
  <c r="AG210" i="32"/>
  <c r="AG209" i="32" s="1"/>
  <c r="AE210" i="32"/>
  <c r="AE209" i="32" s="1"/>
  <c r="T210" i="32"/>
  <c r="T209" i="32" s="1"/>
  <c r="M210" i="32"/>
  <c r="M209" i="32" s="1"/>
  <c r="G210" i="32"/>
  <c r="G209" i="32" s="1"/>
  <c r="F210" i="32"/>
  <c r="F209" i="32" s="1"/>
  <c r="BD209" i="32"/>
  <c r="BB209" i="32"/>
  <c r="BA209" i="32"/>
  <c r="R209" i="32"/>
  <c r="Q209" i="32"/>
  <c r="P209" i="32"/>
  <c r="O209" i="32"/>
  <c r="L209" i="32"/>
  <c r="K209" i="32"/>
  <c r="J209" i="32"/>
  <c r="I209" i="32"/>
  <c r="H209" i="32"/>
  <c r="BJ208" i="32"/>
  <c r="BJ207" i="32" s="1"/>
  <c r="BH208" i="32"/>
  <c r="BE208" i="32"/>
  <c r="BC208" i="32" s="1"/>
  <c r="BC207" i="32" s="1"/>
  <c r="AT208" i="32"/>
  <c r="AU208" i="32" s="1"/>
  <c r="AH208" i="32"/>
  <c r="AH207" i="32" s="1"/>
  <c r="AF208" i="32"/>
  <c r="AC208" i="32"/>
  <c r="I208" i="32"/>
  <c r="I207" i="32" s="1"/>
  <c r="BM207" i="32"/>
  <c r="BL207" i="32"/>
  <c r="BK207" i="32"/>
  <c r="BI207" i="32"/>
  <c r="BG207" i="32"/>
  <c r="BD207" i="32"/>
  <c r="BD28" i="32" s="1"/>
  <c r="BB207" i="32"/>
  <c r="BB28" i="32" s="1"/>
  <c r="BA207" i="32"/>
  <c r="BA28" i="32" s="1"/>
  <c r="AZ207" i="32"/>
  <c r="AY207" i="32"/>
  <c r="AW207" i="32"/>
  <c r="AV207" i="32"/>
  <c r="AO207" i="32"/>
  <c r="AM207" i="32"/>
  <c r="AL207" i="32"/>
  <c r="AK207" i="32"/>
  <c r="AJ207" i="32"/>
  <c r="AG207" i="32"/>
  <c r="AE207" i="32"/>
  <c r="T207" i="32"/>
  <c r="R207" i="32"/>
  <c r="R28" i="32" s="1"/>
  <c r="Q207" i="32"/>
  <c r="Q28" i="32" s="1"/>
  <c r="P207" i="32"/>
  <c r="P28" i="32" s="1"/>
  <c r="O207" i="32"/>
  <c r="M207" i="32"/>
  <c r="L207" i="32"/>
  <c r="K207" i="32"/>
  <c r="J207" i="32"/>
  <c r="H207" i="32"/>
  <c r="G207" i="32"/>
  <c r="F207" i="32"/>
  <c r="BJ206" i="32"/>
  <c r="BH206" i="32"/>
  <c r="BE206" i="32"/>
  <c r="BC206" i="32" s="1"/>
  <c r="AW206" i="32"/>
  <c r="AT206" i="32"/>
  <c r="AU206" i="32" s="1"/>
  <c r="AH206" i="32"/>
  <c r="AF206" i="32"/>
  <c r="AC206" i="32"/>
  <c r="BJ205" i="32"/>
  <c r="BH205" i="32"/>
  <c r="BE205" i="32"/>
  <c r="BC205" i="32" s="1"/>
  <c r="AW205" i="32"/>
  <c r="AU205" i="32"/>
  <c r="AR205" i="32"/>
  <c r="AX205" i="32" s="1"/>
  <c r="AH205" i="32"/>
  <c r="AF205" i="32"/>
  <c r="AC205" i="32"/>
  <c r="BJ204" i="32"/>
  <c r="BH204" i="32"/>
  <c r="BE204" i="32"/>
  <c r="AT204" i="32"/>
  <c r="AU204" i="32" s="1"/>
  <c r="AS204" i="32" s="1"/>
  <c r="AR204" i="32"/>
  <c r="AX204" i="32" s="1"/>
  <c r="AH204" i="32"/>
  <c r="AF204" i="32"/>
  <c r="AC204" i="32"/>
  <c r="BJ203" i="32"/>
  <c r="BH203" i="32"/>
  <c r="BE203" i="32"/>
  <c r="BC203" i="32" s="1"/>
  <c r="AW203" i="32"/>
  <c r="AT203" i="32"/>
  <c r="AU203" i="32" s="1"/>
  <c r="AH203" i="32"/>
  <c r="AF203" i="32"/>
  <c r="AC203" i="32"/>
  <c r="BJ202" i="32"/>
  <c r="BH202" i="32"/>
  <c r="BE202" i="32"/>
  <c r="BC202" i="32" s="1"/>
  <c r="AX202" i="32"/>
  <c r="AW202" i="32"/>
  <c r="AU202" i="32"/>
  <c r="AR202" i="32"/>
  <c r="AN202" i="32" s="1"/>
  <c r="AH202" i="32"/>
  <c r="AF202" i="32"/>
  <c r="AC202" i="32"/>
  <c r="BJ201" i="32"/>
  <c r="BH201" i="32"/>
  <c r="BE201" i="32"/>
  <c r="BK201" i="32" s="1"/>
  <c r="AX201" i="32"/>
  <c r="AW201" i="32"/>
  <c r="AU201" i="32"/>
  <c r="AR201" i="32"/>
  <c r="AN201" i="32" s="1"/>
  <c r="AH201" i="32"/>
  <c r="AF201" i="32"/>
  <c r="AC201" i="32"/>
  <c r="BJ200" i="32"/>
  <c r="BH200" i="32"/>
  <c r="BE200" i="32"/>
  <c r="BC200" i="32" s="1"/>
  <c r="AX200" i="32"/>
  <c r="AW200" i="32"/>
  <c r="AU200" i="32"/>
  <c r="AR200" i="32"/>
  <c r="AN200" i="32" s="1"/>
  <c r="AH200" i="32"/>
  <c r="AF200" i="32"/>
  <c r="AC200" i="32"/>
  <c r="BJ199" i="32"/>
  <c r="BH199" i="32"/>
  <c r="BE199" i="32"/>
  <c r="BC199" i="32" s="1"/>
  <c r="AW199" i="32"/>
  <c r="AU199" i="32"/>
  <c r="AR199" i="32"/>
  <c r="AN199" i="32" s="1"/>
  <c r="AH199" i="32"/>
  <c r="AF199" i="32"/>
  <c r="AC199" i="32"/>
  <c r="AF198" i="32"/>
  <c r="AD198" i="32" s="1"/>
  <c r="AC198" i="32"/>
  <c r="AF197" i="32"/>
  <c r="AD197" i="32" s="1"/>
  <c r="AC197" i="32"/>
  <c r="AE196" i="32"/>
  <c r="AF196" i="32" s="1"/>
  <c r="AD196" i="32" s="1"/>
  <c r="AE195" i="32"/>
  <c r="AF195" i="32" s="1"/>
  <c r="AD195" i="32" s="1"/>
  <c r="BJ194" i="32"/>
  <c r="BH194" i="32"/>
  <c r="BE194" i="32"/>
  <c r="BC194" i="32" s="1"/>
  <c r="AW194" i="32"/>
  <c r="AU194" i="32"/>
  <c r="AR194" i="32"/>
  <c r="AN194" i="32" s="1"/>
  <c r="AH194" i="32"/>
  <c r="AF194" i="32"/>
  <c r="I194" i="32"/>
  <c r="BJ193" i="32"/>
  <c r="BH193" i="32"/>
  <c r="BE193" i="32"/>
  <c r="BC193" i="32" s="1"/>
  <c r="AW193" i="32"/>
  <c r="AU193" i="32"/>
  <c r="AR193" i="32"/>
  <c r="AN193" i="32" s="1"/>
  <c r="AH193" i="32"/>
  <c r="AE193" i="32"/>
  <c r="AF193" i="32" s="1"/>
  <c r="I193" i="32"/>
  <c r="BJ192" i="32"/>
  <c r="BH192" i="32"/>
  <c r="BE192" i="32"/>
  <c r="BC192" i="32" s="1"/>
  <c r="AW192" i="32"/>
  <c r="AU192" i="32"/>
  <c r="AR192" i="32"/>
  <c r="AN192" i="32" s="1"/>
  <c r="AH192" i="32"/>
  <c r="AE192" i="32"/>
  <c r="AF192" i="32" s="1"/>
  <c r="I192" i="32"/>
  <c r="BJ191" i="32"/>
  <c r="BH191" i="32"/>
  <c r="BE191" i="32"/>
  <c r="BC191" i="32" s="1"/>
  <c r="AW191" i="32"/>
  <c r="AT191" i="32"/>
  <c r="AU191" i="32" s="1"/>
  <c r="AH191" i="32"/>
  <c r="AF191" i="32"/>
  <c r="AC191" i="32"/>
  <c r="I191" i="32"/>
  <c r="BJ190" i="32"/>
  <c r="BH190" i="32"/>
  <c r="BE190" i="32"/>
  <c r="BC190" i="32" s="1"/>
  <c r="AW190" i="32"/>
  <c r="AU190" i="32"/>
  <c r="AR190" i="32"/>
  <c r="AN190" i="32" s="1"/>
  <c r="AH190" i="32"/>
  <c r="AF190" i="32"/>
  <c r="AC190" i="32"/>
  <c r="I190" i="32"/>
  <c r="BJ189" i="32"/>
  <c r="BH189" i="32"/>
  <c r="BE189" i="32"/>
  <c r="BC189" i="32" s="1"/>
  <c r="AW189" i="32"/>
  <c r="AT189" i="32"/>
  <c r="AU189" i="32" s="1"/>
  <c r="AH189" i="32"/>
  <c r="AF189" i="32"/>
  <c r="AC189" i="32"/>
  <c r="I189" i="32"/>
  <c r="BJ188" i="32"/>
  <c r="BH188" i="32"/>
  <c r="BE188" i="32"/>
  <c r="BC188" i="32" s="1"/>
  <c r="AW188" i="32"/>
  <c r="AT188" i="32"/>
  <c r="AU188" i="32" s="1"/>
  <c r="AH188" i="32"/>
  <c r="AF188" i="32"/>
  <c r="AC188" i="32"/>
  <c r="I188" i="32"/>
  <c r="BJ187" i="32"/>
  <c r="BH187" i="32"/>
  <c r="BE187" i="32"/>
  <c r="AR187" i="32"/>
  <c r="AN187" i="32" s="1"/>
  <c r="AH187" i="32"/>
  <c r="AF187" i="32"/>
  <c r="AC187" i="32"/>
  <c r="I187" i="32"/>
  <c r="BT186" i="32"/>
  <c r="BT185" i="32" s="1"/>
  <c r="BS186" i="32"/>
  <c r="BS185" i="32" s="1"/>
  <c r="BR186" i="32"/>
  <c r="BR185" i="32" s="1"/>
  <c r="BQ186" i="32"/>
  <c r="BQ185" i="32" s="1"/>
  <c r="BP186" i="32"/>
  <c r="BP185" i="32" s="1"/>
  <c r="BO186" i="32"/>
  <c r="BO185" i="32" s="1"/>
  <c r="BN186" i="32"/>
  <c r="BN185" i="32" s="1"/>
  <c r="BM186" i="32"/>
  <c r="BL186" i="32"/>
  <c r="BI186" i="32"/>
  <c r="BG186" i="32"/>
  <c r="BG185" i="32" s="1"/>
  <c r="AZ186" i="32"/>
  <c r="AZ185" i="32" s="1"/>
  <c r="AY186" i="32"/>
  <c r="AY185" i="32" s="1"/>
  <c r="AV186" i="32"/>
  <c r="AT186" i="32"/>
  <c r="AG186" i="32"/>
  <c r="AE186" i="32"/>
  <c r="T186" i="32"/>
  <c r="M186" i="32"/>
  <c r="G186" i="32"/>
  <c r="F186" i="32"/>
  <c r="BJ184" i="32"/>
  <c r="BH184" i="32"/>
  <c r="BE184" i="32"/>
  <c r="BC184" i="32" s="1"/>
  <c r="AV184" i="32"/>
  <c r="AW184" i="32" s="1"/>
  <c r="AW183" i="32" s="1"/>
  <c r="AH184" i="32"/>
  <c r="AH183" i="32" s="1"/>
  <c r="AF184" i="32"/>
  <c r="AC184" i="32"/>
  <c r="BM183" i="32"/>
  <c r="BL183" i="32"/>
  <c r="BK183" i="32"/>
  <c r="BJ183" i="32"/>
  <c r="BI183" i="32"/>
  <c r="BG183" i="32"/>
  <c r="AZ183" i="32"/>
  <c r="AY183" i="32"/>
  <c r="AV183" i="32"/>
  <c r="AU183" i="32"/>
  <c r="AT183" i="32"/>
  <c r="AS183" i="32"/>
  <c r="AG183" i="32"/>
  <c r="AE183" i="32"/>
  <c r="M183" i="32"/>
  <c r="G183" i="32"/>
  <c r="F183" i="32"/>
  <c r="BJ182" i="32"/>
  <c r="BH182" i="32"/>
  <c r="BE182" i="32"/>
  <c r="BC182" i="32" s="1"/>
  <c r="AV182" i="32"/>
  <c r="AW182" i="32" s="1"/>
  <c r="AU182" i="32"/>
  <c r="AU176" i="32" s="1"/>
  <c r="AH182" i="32"/>
  <c r="AF182" i="32"/>
  <c r="AC182" i="32"/>
  <c r="AF181" i="32"/>
  <c r="AD181" i="32" s="1"/>
  <c r="AC181" i="32"/>
  <c r="AF180" i="32"/>
  <c r="AD180" i="32" s="1"/>
  <c r="AC180" i="32"/>
  <c r="AF179" i="32"/>
  <c r="AD179" i="32" s="1"/>
  <c r="AC179" i="32"/>
  <c r="AF178" i="32"/>
  <c r="AD178" i="32" s="1"/>
  <c r="AC178" i="32"/>
  <c r="BJ177" i="32"/>
  <c r="BJ176" i="32" s="1"/>
  <c r="BH177" i="32"/>
  <c r="BH176" i="32" s="1"/>
  <c r="BE177" i="32"/>
  <c r="BC177" i="32" s="1"/>
  <c r="AT177" i="32"/>
  <c r="AR177" i="32" s="1"/>
  <c r="AN177" i="32" s="1"/>
  <c r="AH177" i="32"/>
  <c r="AF177" i="32"/>
  <c r="AC177" i="32"/>
  <c r="I177" i="32"/>
  <c r="BT176" i="32"/>
  <c r="BT175" i="32" s="1"/>
  <c r="BS176" i="32"/>
  <c r="BS175" i="32" s="1"/>
  <c r="BR176" i="32"/>
  <c r="BR175" i="32" s="1"/>
  <c r="BQ176" i="32"/>
  <c r="BQ175" i="32" s="1"/>
  <c r="BP176" i="32"/>
  <c r="BP175" i="32" s="1"/>
  <c r="BO176" i="32"/>
  <c r="BO175" i="32" s="1"/>
  <c r="BN176" i="32"/>
  <c r="BN175" i="32" s="1"/>
  <c r="BM176" i="32"/>
  <c r="BL176" i="32"/>
  <c r="BK176" i="32"/>
  <c r="BK175" i="32" s="1"/>
  <c r="BI176" i="32"/>
  <c r="BG176" i="32"/>
  <c r="AZ176" i="32"/>
  <c r="AY176" i="32"/>
  <c r="AT176" i="32"/>
  <c r="AG176" i="32"/>
  <c r="AE176" i="32"/>
  <c r="T176" i="32"/>
  <c r="T175" i="32" s="1"/>
  <c r="M176" i="32"/>
  <c r="G176" i="32"/>
  <c r="F176" i="32"/>
  <c r="BJ174" i="32"/>
  <c r="BH174" i="32"/>
  <c r="BE174" i="32"/>
  <c r="BC174" i="32" s="1"/>
  <c r="AU174" i="32"/>
  <c r="AS174" i="32" s="1"/>
  <c r="AR174" i="32"/>
  <c r="AX174" i="32" s="1"/>
  <c r="AH174" i="32"/>
  <c r="AF174" i="32"/>
  <c r="BJ173" i="32"/>
  <c r="BH173" i="32"/>
  <c r="BE173" i="32"/>
  <c r="BC173" i="32" s="1"/>
  <c r="AW173" i="32"/>
  <c r="AU173" i="32"/>
  <c r="AR173" i="32"/>
  <c r="AX173" i="32" s="1"/>
  <c r="AH173" i="32"/>
  <c r="AF173" i="32"/>
  <c r="AC173" i="32"/>
  <c r="BJ172" i="32"/>
  <c r="BH172" i="32"/>
  <c r="BE172" i="32"/>
  <c r="BC172" i="32" s="1"/>
  <c r="AW172" i="32"/>
  <c r="AU172" i="32"/>
  <c r="AR172" i="32"/>
  <c r="AX172" i="32" s="1"/>
  <c r="AH172" i="32"/>
  <c r="AF172" i="32"/>
  <c r="BJ171" i="32"/>
  <c r="BH171" i="32"/>
  <c r="BE171" i="32"/>
  <c r="BC171" i="32" s="1"/>
  <c r="AW171" i="32"/>
  <c r="AU171" i="32"/>
  <c r="AR171" i="32"/>
  <c r="AX171" i="32" s="1"/>
  <c r="AH171" i="32"/>
  <c r="AF171" i="32"/>
  <c r="BJ170" i="32"/>
  <c r="BH170" i="32"/>
  <c r="BE170" i="32"/>
  <c r="BC170" i="32" s="1"/>
  <c r="AW170" i="32"/>
  <c r="AU170" i="32"/>
  <c r="AR170" i="32"/>
  <c r="AX170" i="32" s="1"/>
  <c r="AH170" i="32"/>
  <c r="AF170" i="32"/>
  <c r="AC170" i="32"/>
  <c r="BJ169" i="32"/>
  <c r="BH169" i="32"/>
  <c r="BE169" i="32"/>
  <c r="BC169" i="32" s="1"/>
  <c r="AV169" i="32"/>
  <c r="AW169" i="32" s="1"/>
  <c r="AU169" i="32"/>
  <c r="AH169" i="32"/>
  <c r="AF169" i="32"/>
  <c r="AC169" i="32"/>
  <c r="BJ168" i="32"/>
  <c r="BH168" i="32"/>
  <c r="BE168" i="32"/>
  <c r="BC168" i="32" s="1"/>
  <c r="AW168" i="32"/>
  <c r="AU168" i="32"/>
  <c r="AR168" i="32"/>
  <c r="AX168" i="32" s="1"/>
  <c r="AH168" i="32"/>
  <c r="AF168" i="32"/>
  <c r="AC168" i="32"/>
  <c r="BJ167" i="32"/>
  <c r="BH167" i="32"/>
  <c r="BE167" i="32"/>
  <c r="BC167" i="32" s="1"/>
  <c r="AW167" i="32"/>
  <c r="AU167" i="32"/>
  <c r="AR167" i="32"/>
  <c r="AX167" i="32" s="1"/>
  <c r="AH167" i="32"/>
  <c r="AF167" i="32"/>
  <c r="AC167" i="32"/>
  <c r="BJ166" i="32"/>
  <c r="BH166" i="32"/>
  <c r="BE166" i="32"/>
  <c r="BC166" i="32" s="1"/>
  <c r="AV166" i="32"/>
  <c r="AW166" i="32" s="1"/>
  <c r="AU166" i="32"/>
  <c r="AH166" i="32"/>
  <c r="AF166" i="32"/>
  <c r="AC166" i="32"/>
  <c r="BJ165" i="32"/>
  <c r="BH165" i="32"/>
  <c r="BE165" i="32"/>
  <c r="BC165" i="32" s="1"/>
  <c r="AU165" i="32"/>
  <c r="AR165" i="32"/>
  <c r="AX165" i="32" s="1"/>
  <c r="AH165" i="32"/>
  <c r="AF165" i="32"/>
  <c r="AC165" i="32"/>
  <c r="BJ164" i="32"/>
  <c r="BH164" i="32"/>
  <c r="BE164" i="32"/>
  <c r="BC164" i="32" s="1"/>
  <c r="AW164" i="32"/>
  <c r="AU164" i="32"/>
  <c r="AR164" i="32"/>
  <c r="AX164" i="32" s="1"/>
  <c r="AH164" i="32"/>
  <c r="AF164" i="32"/>
  <c r="AC164" i="32"/>
  <c r="BJ163" i="32"/>
  <c r="BH163" i="32"/>
  <c r="BE163" i="32"/>
  <c r="BC163" i="32" s="1"/>
  <c r="AW163" i="32"/>
  <c r="AU163" i="32"/>
  <c r="AR163" i="32"/>
  <c r="AX163" i="32" s="1"/>
  <c r="AH163" i="32"/>
  <c r="AF163" i="32"/>
  <c r="AC163" i="32"/>
  <c r="BJ162" i="32"/>
  <c r="BH162" i="32"/>
  <c r="BE162" i="32"/>
  <c r="BC162" i="32" s="1"/>
  <c r="AW162" i="32"/>
  <c r="AU162" i="32"/>
  <c r="AR162" i="32"/>
  <c r="AX162" i="32" s="1"/>
  <c r="AH162" i="32"/>
  <c r="AF162" i="32"/>
  <c r="AC162" i="32"/>
  <c r="BJ161" i="32"/>
  <c r="BH161" i="32"/>
  <c r="BE161" i="32"/>
  <c r="BC161" i="32" s="1"/>
  <c r="AW161" i="32"/>
  <c r="AU161" i="32"/>
  <c r="AR161" i="32"/>
  <c r="AX161" i="32" s="1"/>
  <c r="AH161" i="32"/>
  <c r="AF161" i="32"/>
  <c r="AC161" i="32"/>
  <c r="BJ160" i="32"/>
  <c r="BH160" i="32"/>
  <c r="BE160" i="32"/>
  <c r="BC160" i="32" s="1"/>
  <c r="AV160" i="32"/>
  <c r="AW160" i="32" s="1"/>
  <c r="AU160" i="32"/>
  <c r="AH160" i="32"/>
  <c r="AF160" i="32"/>
  <c r="AC160" i="32"/>
  <c r="BJ159" i="32"/>
  <c r="BH159" i="32"/>
  <c r="BE159" i="32"/>
  <c r="BC159" i="32" s="1"/>
  <c r="AV159" i="32"/>
  <c r="AW159" i="32" s="1"/>
  <c r="AU159" i="32"/>
  <c r="AH159" i="32"/>
  <c r="AF159" i="32"/>
  <c r="AC159" i="32"/>
  <c r="BJ158" i="32"/>
  <c r="BH158" i="32"/>
  <c r="BE158" i="32"/>
  <c r="BC158" i="32" s="1"/>
  <c r="AW158" i="32"/>
  <c r="AU158" i="32"/>
  <c r="AR158" i="32"/>
  <c r="AX158" i="32" s="1"/>
  <c r="AH158" i="32"/>
  <c r="AF158" i="32"/>
  <c r="AC158" i="32"/>
  <c r="BJ157" i="32"/>
  <c r="BH157" i="32"/>
  <c r="BE157" i="32"/>
  <c r="BC157" i="32" s="1"/>
  <c r="AV157" i="32"/>
  <c r="AW157" i="32" s="1"/>
  <c r="AU157" i="32"/>
  <c r="AR157" i="32"/>
  <c r="AX157" i="32" s="1"/>
  <c r="AH157" i="32"/>
  <c r="AF157" i="32"/>
  <c r="AC157" i="32"/>
  <c r="BJ156" i="32"/>
  <c r="BH156" i="32"/>
  <c r="BE156" i="32"/>
  <c r="BC156" i="32" s="1"/>
  <c r="AW156" i="32"/>
  <c r="AU156" i="32"/>
  <c r="AR156" i="32"/>
  <c r="AX156" i="32" s="1"/>
  <c r="AH156" i="32"/>
  <c r="AF156" i="32"/>
  <c r="AC156" i="32"/>
  <c r="BJ155" i="32"/>
  <c r="BH155" i="32"/>
  <c r="BE155" i="32"/>
  <c r="BC155" i="32" s="1"/>
  <c r="AW155" i="32"/>
  <c r="AU155" i="32"/>
  <c r="AH155" i="32"/>
  <c r="AF155" i="32"/>
  <c r="AC155" i="32"/>
  <c r="BJ154" i="32"/>
  <c r="BH154" i="32"/>
  <c r="BE154" i="32"/>
  <c r="BC154" i="32" s="1"/>
  <c r="AV154" i="32"/>
  <c r="AW154" i="32" s="1"/>
  <c r="AU154" i="32"/>
  <c r="AR154" i="32"/>
  <c r="AX154" i="32" s="1"/>
  <c r="AH154" i="32"/>
  <c r="AF154" i="32"/>
  <c r="AC154" i="32"/>
  <c r="BJ153" i="32"/>
  <c r="BH153" i="32"/>
  <c r="BE153" i="32"/>
  <c r="BC153" i="32" s="1"/>
  <c r="AV153" i="32"/>
  <c r="AW153" i="32" s="1"/>
  <c r="AU153" i="32"/>
  <c r="AR153" i="32"/>
  <c r="AX153" i="32" s="1"/>
  <c r="AH153" i="32"/>
  <c r="AF153" i="32"/>
  <c r="AC153" i="32"/>
  <c r="BJ152" i="32"/>
  <c r="BH152" i="32"/>
  <c r="BE152" i="32"/>
  <c r="AV152" i="32"/>
  <c r="AW152" i="32" s="1"/>
  <c r="AU152" i="32"/>
  <c r="AH152" i="32"/>
  <c r="AF152" i="32"/>
  <c r="AC152" i="32"/>
  <c r="BJ151" i="32"/>
  <c r="BH151" i="32"/>
  <c r="BE151" i="32"/>
  <c r="BC151" i="32" s="1"/>
  <c r="AW151" i="32"/>
  <c r="AU151" i="32"/>
  <c r="AR151" i="32"/>
  <c r="AX151" i="32" s="1"/>
  <c r="AH151" i="32"/>
  <c r="AF151" i="32"/>
  <c r="AC151" i="32"/>
  <c r="I151" i="32"/>
  <c r="BJ150" i="32"/>
  <c r="BH150" i="32"/>
  <c r="BE150" i="32"/>
  <c r="BC150" i="32" s="1"/>
  <c r="AR150" i="32"/>
  <c r="AX150" i="32" s="1"/>
  <c r="AH150" i="32"/>
  <c r="AF150" i="32"/>
  <c r="AC150" i="32"/>
  <c r="I150" i="32"/>
  <c r="BT149" i="32"/>
  <c r="BT148" i="32" s="1"/>
  <c r="BS149" i="32"/>
  <c r="BS148" i="32" s="1"/>
  <c r="BR149" i="32"/>
  <c r="BQ149" i="32"/>
  <c r="BP149" i="32"/>
  <c r="BP148" i="32" s="1"/>
  <c r="BO149" i="32"/>
  <c r="BO148" i="32" s="1"/>
  <c r="BN149" i="32"/>
  <c r="BM149" i="32"/>
  <c r="BL149" i="32"/>
  <c r="BL148" i="32" s="1"/>
  <c r="BK149" i="32"/>
  <c r="BK148" i="32" s="1"/>
  <c r="BI149" i="32"/>
  <c r="BG149" i="32"/>
  <c r="AZ149" i="32"/>
  <c r="AZ148" i="32" s="1"/>
  <c r="AY149" i="32"/>
  <c r="AY148" i="32" s="1"/>
  <c r="AT149" i="32"/>
  <c r="AT148" i="32" s="1"/>
  <c r="AG149" i="32"/>
  <c r="AG148" i="32" s="1"/>
  <c r="AE149" i="32"/>
  <c r="AE148" i="32" s="1"/>
  <c r="T149" i="32"/>
  <c r="M149" i="32"/>
  <c r="M148" i="32" s="1"/>
  <c r="G149" i="32"/>
  <c r="G148" i="32" s="1"/>
  <c r="F149" i="32"/>
  <c r="F148" i="32" s="1"/>
  <c r="BR148" i="32"/>
  <c r="BQ148" i="32"/>
  <c r="BN148" i="32"/>
  <c r="BM148" i="32"/>
  <c r="BI148" i="32"/>
  <c r="BG148" i="32"/>
  <c r="T148" i="32"/>
  <c r="B148" i="32"/>
  <c r="B26" i="32" s="1"/>
  <c r="BJ147" i="32"/>
  <c r="BH147" i="32"/>
  <c r="BE147" i="32"/>
  <c r="BC147" i="32" s="1"/>
  <c r="AW147" i="32"/>
  <c r="AU147" i="32"/>
  <c r="AR147" i="32"/>
  <c r="AN147" i="32" s="1"/>
  <c r="AH147" i="32"/>
  <c r="AF147" i="32"/>
  <c r="AC147" i="32"/>
  <c r="BJ146" i="32"/>
  <c r="BH146" i="32"/>
  <c r="BE146" i="32"/>
  <c r="BC146" i="32" s="1"/>
  <c r="AW146" i="32"/>
  <c r="AU146" i="32"/>
  <c r="AR146" i="32"/>
  <c r="AX146" i="32" s="1"/>
  <c r="AH146" i="32"/>
  <c r="AF146" i="32"/>
  <c r="AC146" i="32"/>
  <c r="BJ145" i="32"/>
  <c r="BH145" i="32"/>
  <c r="BE145" i="32"/>
  <c r="BC145" i="32" s="1"/>
  <c r="AW145" i="32"/>
  <c r="AU145" i="32"/>
  <c r="AR145" i="32"/>
  <c r="AN145" i="32" s="1"/>
  <c r="AH145" i="32"/>
  <c r="AF145" i="32"/>
  <c r="AC145" i="32"/>
  <c r="BJ144" i="32"/>
  <c r="BH144" i="32"/>
  <c r="BE144" i="32"/>
  <c r="BC144" i="32" s="1"/>
  <c r="AV144" i="32"/>
  <c r="AW144" i="32" s="1"/>
  <c r="AU144" i="32"/>
  <c r="AH144" i="32"/>
  <c r="AF144" i="32"/>
  <c r="AC144" i="32"/>
  <c r="BC143" i="32"/>
  <c r="AS143" i="32"/>
  <c r="AR143" i="32"/>
  <c r="AX143" i="32" s="1"/>
  <c r="AI143" i="32"/>
  <c r="S143" i="32"/>
  <c r="BJ142" i="32"/>
  <c r="BH142" i="32"/>
  <c r="BE142" i="32"/>
  <c r="BC142" i="32" s="1"/>
  <c r="AW142" i="32"/>
  <c r="AT142" i="32"/>
  <c r="AU142" i="32" s="1"/>
  <c r="AH142" i="32"/>
  <c r="AF142" i="32"/>
  <c r="I142" i="32"/>
  <c r="BJ141" i="32"/>
  <c r="BH141" i="32"/>
  <c r="BE141" i="32"/>
  <c r="BC141" i="32" s="1"/>
  <c r="AW141" i="32"/>
  <c r="AU141" i="32"/>
  <c r="AR141" i="32"/>
  <c r="AN141" i="32" s="1"/>
  <c r="AH141" i="32"/>
  <c r="AF141" i="32"/>
  <c r="AC141" i="32"/>
  <c r="I141" i="32"/>
  <c r="BJ140" i="32"/>
  <c r="BH140" i="32"/>
  <c r="BE140" i="32"/>
  <c r="BC140" i="32" s="1"/>
  <c r="AW140" i="32"/>
  <c r="AU140" i="32"/>
  <c r="AR140" i="32"/>
  <c r="AN140" i="32" s="1"/>
  <c r="AH140" i="32"/>
  <c r="AF140" i="32"/>
  <c r="AC140" i="32"/>
  <c r="I140" i="32"/>
  <c r="BJ139" i="32"/>
  <c r="BH139" i="32"/>
  <c r="BE139" i="32"/>
  <c r="BC139" i="32" s="1"/>
  <c r="AW139" i="32"/>
  <c r="AU139" i="32"/>
  <c r="AR139" i="32"/>
  <c r="AN139" i="32" s="1"/>
  <c r="AH139" i="32"/>
  <c r="AF139" i="32"/>
  <c r="AC139" i="32"/>
  <c r="I139" i="32"/>
  <c r="BJ138" i="32"/>
  <c r="BH138" i="32"/>
  <c r="BE138" i="32"/>
  <c r="BC138" i="32" s="1"/>
  <c r="AW138" i="32"/>
  <c r="AU138" i="32"/>
  <c r="AR138" i="32"/>
  <c r="AN138" i="32" s="1"/>
  <c r="AH138" i="32"/>
  <c r="AF138" i="32"/>
  <c r="AC138" i="32"/>
  <c r="I138" i="32"/>
  <c r="BJ137" i="32"/>
  <c r="BH137" i="32"/>
  <c r="BE137" i="32"/>
  <c r="BC137" i="32" s="1"/>
  <c r="AW137" i="32"/>
  <c r="AU137" i="32"/>
  <c r="AR137" i="32"/>
  <c r="AN137" i="32" s="1"/>
  <c r="AH137" i="32"/>
  <c r="AF137" i="32"/>
  <c r="AC137" i="32"/>
  <c r="I137" i="32"/>
  <c r="BJ136" i="32"/>
  <c r="BH136" i="32"/>
  <c r="BE136" i="32"/>
  <c r="AR136" i="32"/>
  <c r="AN136" i="32" s="1"/>
  <c r="AH136" i="32"/>
  <c r="AF136" i="32"/>
  <c r="AC136" i="32"/>
  <c r="I136" i="32"/>
  <c r="BT135" i="32"/>
  <c r="BT134" i="32" s="1"/>
  <c r="BS135" i="32"/>
  <c r="BS134" i="32" s="1"/>
  <c r="BR135" i="32"/>
  <c r="BR134" i="32" s="1"/>
  <c r="BQ135" i="32"/>
  <c r="BQ134" i="32" s="1"/>
  <c r="BP135" i="32"/>
  <c r="BP134" i="32" s="1"/>
  <c r="BO135" i="32"/>
  <c r="BO134" i="32" s="1"/>
  <c r="BN135" i="32"/>
  <c r="BN134" i="32" s="1"/>
  <c r="BM135" i="32"/>
  <c r="BM134" i="32" s="1"/>
  <c r="BL135" i="32"/>
  <c r="BL134" i="32" s="1"/>
  <c r="BK135" i="32"/>
  <c r="BK134" i="32" s="1"/>
  <c r="BI135" i="32"/>
  <c r="BI134" i="32" s="1"/>
  <c r="BG135" i="32"/>
  <c r="BG134" i="32" s="1"/>
  <c r="AZ135" i="32"/>
  <c r="AZ134" i="32" s="1"/>
  <c r="AY135" i="32"/>
  <c r="AY134" i="32" s="1"/>
  <c r="AV135" i="32"/>
  <c r="AV134" i="32" s="1"/>
  <c r="AT135" i="32"/>
  <c r="AT134" i="32" s="1"/>
  <c r="AG135" i="32"/>
  <c r="AG134" i="32" s="1"/>
  <c r="AE135" i="32"/>
  <c r="AE134" i="32" s="1"/>
  <c r="T135" i="32"/>
  <c r="T134" i="32" s="1"/>
  <c r="M135" i="32"/>
  <c r="M134" i="32" s="1"/>
  <c r="H135" i="32"/>
  <c r="H134" i="32" s="1"/>
  <c r="G135" i="32"/>
  <c r="G134" i="32" s="1"/>
  <c r="F135" i="32"/>
  <c r="F134" i="32" s="1"/>
  <c r="BJ133" i="32"/>
  <c r="BJ132" i="32" s="1"/>
  <c r="BH133" i="32"/>
  <c r="BH132" i="32" s="1"/>
  <c r="BE133" i="32"/>
  <c r="AV133" i="32"/>
  <c r="AR133" i="32" s="1"/>
  <c r="AH133" i="32"/>
  <c r="AH132" i="32" s="1"/>
  <c r="AF133" i="32"/>
  <c r="AF132" i="32" s="1"/>
  <c r="AC133" i="32"/>
  <c r="AC132" i="32" s="1"/>
  <c r="S132" i="32" s="1"/>
  <c r="BM132" i="32"/>
  <c r="BL132" i="32"/>
  <c r="BK132" i="32"/>
  <c r="BI132" i="32"/>
  <c r="BG132" i="32"/>
  <c r="AZ132" i="32"/>
  <c r="AY132" i="32"/>
  <c r="AW132" i="32"/>
  <c r="AU132" i="32"/>
  <c r="AT132" i="32"/>
  <c r="AS132" i="32"/>
  <c r="AG132" i="32"/>
  <c r="AE132" i="32"/>
  <c r="M132" i="32"/>
  <c r="G132" i="32"/>
  <c r="F132" i="32"/>
  <c r="BH131" i="32"/>
  <c r="BF131" i="32" s="1"/>
  <c r="BE131" i="32"/>
  <c r="BC131" i="32" s="1"/>
  <c r="AV131" i="32"/>
  <c r="AW131" i="32" s="1"/>
  <c r="AT131" i="32"/>
  <c r="AU131" i="32" s="1"/>
  <c r="AH131" i="32"/>
  <c r="AF131" i="32"/>
  <c r="AC131" i="32"/>
  <c r="BJ130" i="32"/>
  <c r="BH130" i="32"/>
  <c r="BE130" i="32"/>
  <c r="BC130" i="32" s="1"/>
  <c r="AU130" i="32"/>
  <c r="AR130" i="32"/>
  <c r="AX130" i="32" s="1"/>
  <c r="AH130" i="32"/>
  <c r="AF130" i="32"/>
  <c r="AC130" i="32"/>
  <c r="BJ129" i="32"/>
  <c r="BH129" i="32"/>
  <c r="BE129" i="32"/>
  <c r="BC129" i="32" s="1"/>
  <c r="AV129" i="32"/>
  <c r="AW129" i="32" s="1"/>
  <c r="AU129" i="32"/>
  <c r="AH129" i="32"/>
  <c r="AF129" i="32"/>
  <c r="AC129" i="32"/>
  <c r="BJ128" i="32"/>
  <c r="BH128" i="32"/>
  <c r="BE128" i="32"/>
  <c r="BC128" i="32" s="1"/>
  <c r="AV128" i="32"/>
  <c r="AW128" i="32" s="1"/>
  <c r="AU128" i="32"/>
  <c r="AH128" i="32"/>
  <c r="AF128" i="32"/>
  <c r="AC128" i="32"/>
  <c r="BJ127" i="32"/>
  <c r="BH127" i="32"/>
  <c r="BE127" i="32"/>
  <c r="BC127" i="32" s="1"/>
  <c r="AW127" i="32"/>
  <c r="AU127" i="32"/>
  <c r="AR127" i="32"/>
  <c r="AX127" i="32" s="1"/>
  <c r="AH127" i="32"/>
  <c r="AF127" i="32"/>
  <c r="AC127" i="32"/>
  <c r="BJ126" i="32"/>
  <c r="BH126" i="32"/>
  <c r="BE126" i="32"/>
  <c r="BC126" i="32" s="1"/>
  <c r="AV126" i="32"/>
  <c r="AX126" i="32" s="1"/>
  <c r="AU126" i="32"/>
  <c r="AR126" i="32"/>
  <c r="AN126" i="32" s="1"/>
  <c r="AH126" i="32"/>
  <c r="AF126" i="32"/>
  <c r="AC126" i="32"/>
  <c r="BJ125" i="32"/>
  <c r="BH125" i="32"/>
  <c r="BE125" i="32"/>
  <c r="BC125" i="32" s="1"/>
  <c r="AV125" i="32"/>
  <c r="AW125" i="32" s="1"/>
  <c r="AU125" i="32"/>
  <c r="AH125" i="32"/>
  <c r="AF125" i="32"/>
  <c r="AC125" i="32"/>
  <c r="BJ124" i="32"/>
  <c r="BH124" i="32"/>
  <c r="BE124" i="32"/>
  <c r="BC124" i="32" s="1"/>
  <c r="AV124" i="32"/>
  <c r="AW124" i="32" s="1"/>
  <c r="AU124" i="32"/>
  <c r="AH124" i="32"/>
  <c r="AF124" i="32"/>
  <c r="AC124" i="32"/>
  <c r="BJ123" i="32"/>
  <c r="BH123" i="32"/>
  <c r="BE123" i="32"/>
  <c r="BC123" i="32" s="1"/>
  <c r="AV123" i="32"/>
  <c r="AW123" i="32" s="1"/>
  <c r="AU123" i="32"/>
  <c r="AR123" i="32"/>
  <c r="AX123" i="32" s="1"/>
  <c r="AH123" i="32"/>
  <c r="AF123" i="32"/>
  <c r="AC123" i="32"/>
  <c r="BJ122" i="32"/>
  <c r="BH122" i="32"/>
  <c r="BE122" i="32"/>
  <c r="BC122" i="32" s="1"/>
  <c r="AV122" i="32"/>
  <c r="AW122" i="32" s="1"/>
  <c r="AU122" i="32"/>
  <c r="AH122" i="32"/>
  <c r="AF122" i="32"/>
  <c r="AC122" i="32"/>
  <c r="BJ121" i="32"/>
  <c r="BH121" i="32"/>
  <c r="BE121" i="32"/>
  <c r="BC121" i="32" s="1"/>
  <c r="AW121" i="32"/>
  <c r="AU121" i="32"/>
  <c r="AR121" i="32"/>
  <c r="AX121" i="32" s="1"/>
  <c r="AH121" i="32"/>
  <c r="AF121" i="32"/>
  <c r="AC121" i="32"/>
  <c r="BJ120" i="32"/>
  <c r="BH120" i="32"/>
  <c r="BE120" i="32"/>
  <c r="BC120" i="32" s="1"/>
  <c r="AW120" i="32"/>
  <c r="AU120" i="32"/>
  <c r="AR120" i="32"/>
  <c r="AN120" i="32" s="1"/>
  <c r="AF120" i="32"/>
  <c r="AD120" i="32" s="1"/>
  <c r="AC120" i="32"/>
  <c r="AF119" i="32"/>
  <c r="AD119" i="32" s="1"/>
  <c r="AC119" i="32"/>
  <c r="AF118" i="32"/>
  <c r="AD118" i="32" s="1"/>
  <c r="AC118" i="32"/>
  <c r="AF117" i="32"/>
  <c r="AD117" i="32" s="1"/>
  <c r="AC117" i="32"/>
  <c r="BJ116" i="32"/>
  <c r="BH116" i="32"/>
  <c r="BE116" i="32"/>
  <c r="BC116" i="32" s="1"/>
  <c r="AW116" i="32"/>
  <c r="AT116" i="32"/>
  <c r="AX116" i="32" s="1"/>
  <c r="AH116" i="32"/>
  <c r="AE116" i="32"/>
  <c r="AF116" i="32" s="1"/>
  <c r="I116" i="32"/>
  <c r="BJ115" i="32"/>
  <c r="BH115" i="32"/>
  <c r="BE115" i="32"/>
  <c r="BC115" i="32" s="1"/>
  <c r="AW115" i="32"/>
  <c r="AU115" i="32"/>
  <c r="AR115" i="32"/>
  <c r="AN115" i="32" s="1"/>
  <c r="AH115" i="32"/>
  <c r="AF115" i="32"/>
  <c r="AC115" i="32"/>
  <c r="I115" i="32"/>
  <c r="BJ114" i="32"/>
  <c r="BH114" i="32"/>
  <c r="BE114" i="32"/>
  <c r="AW114" i="32"/>
  <c r="AT114" i="32"/>
  <c r="AU114" i="32" s="1"/>
  <c r="AH114" i="32"/>
  <c r="AF114" i="32"/>
  <c r="I114" i="32"/>
  <c r="BJ113" i="32"/>
  <c r="BH113" i="32"/>
  <c r="BE113" i="32"/>
  <c r="BC113" i="32" s="1"/>
  <c r="AR113" i="32"/>
  <c r="AN113" i="32" s="1"/>
  <c r="AH113" i="32"/>
  <c r="AF113" i="32"/>
  <c r="AC113" i="32"/>
  <c r="I113" i="32"/>
  <c r="I112" i="32" s="1"/>
  <c r="I111" i="32" s="1"/>
  <c r="BT112" i="32"/>
  <c r="BT111" i="32" s="1"/>
  <c r="BS112" i="32"/>
  <c r="BS111" i="32" s="1"/>
  <c r="BR112" i="32"/>
  <c r="BR111" i="32" s="1"/>
  <c r="BQ112" i="32"/>
  <c r="BQ111" i="32" s="1"/>
  <c r="BP112" i="32"/>
  <c r="BP111" i="32" s="1"/>
  <c r="BO112" i="32"/>
  <c r="BO111" i="32" s="1"/>
  <c r="BN112" i="32"/>
  <c r="BN111" i="32" s="1"/>
  <c r="BM112" i="32"/>
  <c r="BL112" i="32"/>
  <c r="BK112" i="32"/>
  <c r="BI112" i="32"/>
  <c r="BG112" i="32"/>
  <c r="AZ112" i="32"/>
  <c r="AY112" i="32"/>
  <c r="AG112" i="32"/>
  <c r="T112" i="32"/>
  <c r="T111" i="32" s="1"/>
  <c r="M112" i="32"/>
  <c r="H112" i="32"/>
  <c r="H111" i="32" s="1"/>
  <c r="G112" i="32"/>
  <c r="F112" i="32"/>
  <c r="BJ110" i="32"/>
  <c r="BH110" i="32"/>
  <c r="BE110" i="32"/>
  <c r="BC110" i="32" s="1"/>
  <c r="AV110" i="32"/>
  <c r="AW110" i="32" s="1"/>
  <c r="AU110" i="32"/>
  <c r="AR110" i="32"/>
  <c r="AX110" i="32" s="1"/>
  <c r="AH110" i="32"/>
  <c r="AF110" i="32"/>
  <c r="AC110" i="32"/>
  <c r="BJ109" i="32"/>
  <c r="BH109" i="32"/>
  <c r="BE109" i="32"/>
  <c r="BC109" i="32" s="1"/>
  <c r="AW109" i="32"/>
  <c r="AU109" i="32"/>
  <c r="AR109" i="32"/>
  <c r="AN109" i="32" s="1"/>
  <c r="AI109" i="32"/>
  <c r="AH109" i="32"/>
  <c r="AF109" i="32"/>
  <c r="S109" i="32"/>
  <c r="N109" i="32"/>
  <c r="BJ108" i="32"/>
  <c r="BH108" i="32"/>
  <c r="BE108" i="32"/>
  <c r="BC108" i="32" s="1"/>
  <c r="AV108" i="32"/>
  <c r="AW108" i="32" s="1"/>
  <c r="AU108" i="32"/>
  <c r="AR108" i="32"/>
  <c r="AX108" i="32" s="1"/>
  <c r="AH108" i="32"/>
  <c r="AF108" i="32"/>
  <c r="AC108" i="32"/>
  <c r="BJ107" i="32"/>
  <c r="BH107" i="32"/>
  <c r="BE107" i="32"/>
  <c r="BC107" i="32" s="1"/>
  <c r="AV107" i="32"/>
  <c r="AW107" i="32" s="1"/>
  <c r="AU107" i="32"/>
  <c r="AH107" i="32"/>
  <c r="AF107" i="32"/>
  <c r="AC107" i="32"/>
  <c r="BJ106" i="32"/>
  <c r="BH106" i="32"/>
  <c r="BE106" i="32"/>
  <c r="BC106" i="32" s="1"/>
  <c r="AV106" i="32"/>
  <c r="AW106" i="32" s="1"/>
  <c r="AU106" i="32"/>
  <c r="AH106" i="32"/>
  <c r="AF106" i="32"/>
  <c r="AC106" i="32"/>
  <c r="BJ105" i="32"/>
  <c r="BH105" i="32"/>
  <c r="BE105" i="32"/>
  <c r="BC105" i="32" s="1"/>
  <c r="AW105" i="32"/>
  <c r="AU105" i="32"/>
  <c r="AR105" i="32"/>
  <c r="AX105" i="32" s="1"/>
  <c r="AH105" i="32"/>
  <c r="AF105" i="32"/>
  <c r="AC105" i="32"/>
  <c r="BJ104" i="32"/>
  <c r="BH104" i="32"/>
  <c r="BE104" i="32"/>
  <c r="BC104" i="32" s="1"/>
  <c r="AV104" i="32"/>
  <c r="AW104" i="32" s="1"/>
  <c r="AU104" i="32"/>
  <c r="AR104" i="32"/>
  <c r="AX104" i="32" s="1"/>
  <c r="AH104" i="32"/>
  <c r="AF104" i="32"/>
  <c r="AC104" i="32"/>
  <c r="AF103" i="32"/>
  <c r="AD103" i="32" s="1"/>
  <c r="AC103" i="32"/>
  <c r="AF102" i="32"/>
  <c r="AD102" i="32" s="1"/>
  <c r="AC102" i="32"/>
  <c r="AF101" i="32"/>
  <c r="AD101" i="32" s="1"/>
  <c r="AC101" i="32"/>
  <c r="BJ100" i="32"/>
  <c r="BH100" i="32"/>
  <c r="BE100" i="32"/>
  <c r="BC100" i="32" s="1"/>
  <c r="AW100" i="32"/>
  <c r="AT100" i="32"/>
  <c r="AU100" i="32" s="1"/>
  <c r="AH100" i="32"/>
  <c r="AF100" i="32"/>
  <c r="AC100" i="32"/>
  <c r="I100" i="32"/>
  <c r="BJ99" i="32"/>
  <c r="BH99" i="32"/>
  <c r="BE99" i="32"/>
  <c r="BC99" i="32" s="1"/>
  <c r="AW99" i="32"/>
  <c r="AT99" i="32"/>
  <c r="AU99" i="32" s="1"/>
  <c r="AH99" i="32"/>
  <c r="AF99" i="32"/>
  <c r="AC99" i="32"/>
  <c r="I99" i="32"/>
  <c r="BJ98" i="32"/>
  <c r="BH98" i="32"/>
  <c r="BE98" i="32"/>
  <c r="BC98" i="32" s="1"/>
  <c r="AU98" i="32"/>
  <c r="AS98" i="32" s="1"/>
  <c r="AR98" i="32"/>
  <c r="AX98" i="32" s="1"/>
  <c r="AH98" i="32"/>
  <c r="AF98" i="32"/>
  <c r="I98" i="32"/>
  <c r="BT97" i="32"/>
  <c r="BT96" i="32" s="1"/>
  <c r="BS97" i="32"/>
  <c r="BS96" i="32" s="1"/>
  <c r="BR97" i="32"/>
  <c r="BR96" i="32" s="1"/>
  <c r="BQ97" i="32"/>
  <c r="BQ96" i="32" s="1"/>
  <c r="BP97" i="32"/>
  <c r="BP96" i="32" s="1"/>
  <c r="BO97" i="32"/>
  <c r="BO96" i="32" s="1"/>
  <c r="BN97" i="32"/>
  <c r="BN96" i="32" s="1"/>
  <c r="BM97" i="32"/>
  <c r="BM96" i="32" s="1"/>
  <c r="BL97" i="32"/>
  <c r="BL96" i="32" s="1"/>
  <c r="BK97" i="32"/>
  <c r="BK96" i="32" s="1"/>
  <c r="BI97" i="32"/>
  <c r="BI96" i="32" s="1"/>
  <c r="BG97" i="32"/>
  <c r="BG96" i="32" s="1"/>
  <c r="AZ97" i="32"/>
  <c r="AZ96" i="32" s="1"/>
  <c r="AY97" i="32"/>
  <c r="AY96" i="32" s="1"/>
  <c r="AT97" i="32"/>
  <c r="AT96" i="32" s="1"/>
  <c r="AG97" i="32"/>
  <c r="AG96" i="32" s="1"/>
  <c r="AE97" i="32"/>
  <c r="AE96" i="32" s="1"/>
  <c r="T97" i="32"/>
  <c r="T96" i="32" s="1"/>
  <c r="M97" i="32"/>
  <c r="M96" i="32" s="1"/>
  <c r="H97" i="32"/>
  <c r="H96" i="32" s="1"/>
  <c r="G97" i="32"/>
  <c r="G96" i="32" s="1"/>
  <c r="F97" i="32"/>
  <c r="F96" i="32" s="1"/>
  <c r="BD96" i="32"/>
  <c r="BB96" i="32"/>
  <c r="BA96" i="32"/>
  <c r="R96" i="32"/>
  <c r="Q96" i="32"/>
  <c r="P96" i="32"/>
  <c r="O96" i="32"/>
  <c r="L96" i="32"/>
  <c r="K96" i="32"/>
  <c r="J96" i="32"/>
  <c r="BJ95" i="32"/>
  <c r="BH95" i="32"/>
  <c r="BE95" i="32"/>
  <c r="BC95" i="32" s="1"/>
  <c r="AV95" i="32"/>
  <c r="AW95" i="32" s="1"/>
  <c r="AU95" i="32"/>
  <c r="AH95" i="32"/>
  <c r="AF95" i="32"/>
  <c r="AC95" i="32"/>
  <c r="BJ94" i="32"/>
  <c r="BH94" i="32"/>
  <c r="BE94" i="32"/>
  <c r="BC94" i="32" s="1"/>
  <c r="AV94" i="32"/>
  <c r="AW94" i="32" s="1"/>
  <c r="AU94" i="32"/>
  <c r="AR94" i="32"/>
  <c r="AN94" i="32" s="1"/>
  <c r="AH94" i="32"/>
  <c r="AF94" i="32"/>
  <c r="AC94" i="32"/>
  <c r="BJ93" i="32"/>
  <c r="BH93" i="32"/>
  <c r="BE93" i="32"/>
  <c r="BK93" i="32" s="1"/>
  <c r="BK91" i="32" s="1"/>
  <c r="AV93" i="32"/>
  <c r="AW93" i="32" s="1"/>
  <c r="AU93" i="32"/>
  <c r="AR93" i="32"/>
  <c r="AX93" i="32" s="1"/>
  <c r="AH93" i="32"/>
  <c r="AF93" i="32"/>
  <c r="AC93" i="32"/>
  <c r="BJ92" i="32"/>
  <c r="BH92" i="32"/>
  <c r="BE92" i="32"/>
  <c r="BC92" i="32" s="1"/>
  <c r="AV92" i="32"/>
  <c r="AR92" i="32" s="1"/>
  <c r="AS92" i="32"/>
  <c r="AH92" i="32"/>
  <c r="AF92" i="32"/>
  <c r="AC92" i="32"/>
  <c r="BT91" i="32"/>
  <c r="BS91" i="32"/>
  <c r="BR91" i="32"/>
  <c r="BQ91" i="32"/>
  <c r="BP91" i="32"/>
  <c r="BO91" i="32"/>
  <c r="BN91" i="32"/>
  <c r="BM91" i="32"/>
  <c r="BL91" i="32"/>
  <c r="BI91" i="32"/>
  <c r="BG91" i="32"/>
  <c r="AZ91" i="32"/>
  <c r="AY91" i="32"/>
  <c r="AT91" i="32"/>
  <c r="AG91" i="32"/>
  <c r="AE91" i="32"/>
  <c r="L91" i="32"/>
  <c r="K91" i="32"/>
  <c r="J91" i="32"/>
  <c r="I91" i="32"/>
  <c r="H91" i="32"/>
  <c r="G91" i="32"/>
  <c r="F91" i="32"/>
  <c r="BJ90" i="32"/>
  <c r="BH90" i="32"/>
  <c r="BE90" i="32"/>
  <c r="BC90" i="32" s="1"/>
  <c r="AW90" i="32"/>
  <c r="AU90" i="32"/>
  <c r="AR90" i="32"/>
  <c r="AX90" i="32" s="1"/>
  <c r="AH90" i="32"/>
  <c r="AF90" i="32"/>
  <c r="AC90" i="32"/>
  <c r="BJ89" i="32"/>
  <c r="BH89" i="32"/>
  <c r="BE89" i="32"/>
  <c r="BC89" i="32" s="1"/>
  <c r="AW89" i="32"/>
  <c r="AU89" i="32"/>
  <c r="AR89" i="32"/>
  <c r="AN89" i="32" s="1"/>
  <c r="AH89" i="32"/>
  <c r="AF89" i="32"/>
  <c r="AC89" i="32"/>
  <c r="BJ88" i="32"/>
  <c r="BH88" i="32"/>
  <c r="BE88" i="32"/>
  <c r="BC88" i="32" s="1"/>
  <c r="AW88" i="32"/>
  <c r="AU88" i="32"/>
  <c r="AR88" i="32"/>
  <c r="AX88" i="32" s="1"/>
  <c r="AH88" i="32"/>
  <c r="AF88" i="32"/>
  <c r="AC88" i="32"/>
  <c r="BJ87" i="32"/>
  <c r="BH87" i="32"/>
  <c r="BE87" i="32"/>
  <c r="BC87" i="32" s="1"/>
  <c r="AW87" i="32"/>
  <c r="AT87" i="32"/>
  <c r="AU87" i="32" s="1"/>
  <c r="AH87" i="32"/>
  <c r="AF87" i="32"/>
  <c r="AC87" i="32"/>
  <c r="BJ86" i="32"/>
  <c r="BH86" i="32"/>
  <c r="BE86" i="32"/>
  <c r="BC86" i="32" s="1"/>
  <c r="AW86" i="32"/>
  <c r="AT86" i="32"/>
  <c r="AU86" i="32" s="1"/>
  <c r="AH86" i="32"/>
  <c r="AF86" i="32"/>
  <c r="AC86" i="32"/>
  <c r="BJ85" i="32"/>
  <c r="BH85" i="32"/>
  <c r="BE85" i="32"/>
  <c r="BC85" i="32" s="1"/>
  <c r="AX85" i="32"/>
  <c r="AW85" i="32"/>
  <c r="AU85" i="32"/>
  <c r="AR85" i="32"/>
  <c r="AN85" i="32" s="1"/>
  <c r="AH85" i="32"/>
  <c r="AF85" i="32"/>
  <c r="AC85" i="32"/>
  <c r="BJ84" i="32"/>
  <c r="BH84" i="32"/>
  <c r="BE84" i="32"/>
  <c r="BC84" i="32" s="1"/>
  <c r="AW84" i="32"/>
  <c r="AU84" i="32"/>
  <c r="AR84" i="32"/>
  <c r="AN84" i="32" s="1"/>
  <c r="AH84" i="32"/>
  <c r="AF84" i="32"/>
  <c r="AC84" i="32"/>
  <c r="BJ83" i="32"/>
  <c r="BH83" i="32"/>
  <c r="BE83" i="32"/>
  <c r="BC83" i="32" s="1"/>
  <c r="AW83" i="32"/>
  <c r="AU83" i="32"/>
  <c r="AR83" i="32"/>
  <c r="AX83" i="32" s="1"/>
  <c r="AH83" i="32"/>
  <c r="AF83" i="32"/>
  <c r="AC83" i="32"/>
  <c r="BJ82" i="32"/>
  <c r="BH82" i="32"/>
  <c r="BE82" i="32"/>
  <c r="BC82" i="32" s="1"/>
  <c r="AW82" i="32"/>
  <c r="AU82" i="32"/>
  <c r="AR82" i="32"/>
  <c r="AX82" i="32" s="1"/>
  <c r="AH82" i="32"/>
  <c r="AF82" i="32"/>
  <c r="AC82" i="32"/>
  <c r="BK81" i="32"/>
  <c r="BJ81" i="32"/>
  <c r="BH81" i="32"/>
  <c r="BE81" i="32"/>
  <c r="BC81" i="32" s="1"/>
  <c r="AW81" i="32"/>
  <c r="AU81" i="32"/>
  <c r="AR81" i="32"/>
  <c r="AN81" i="32" s="1"/>
  <c r="AH81" i="32"/>
  <c r="AF81" i="32"/>
  <c r="AC81" i="32"/>
  <c r="BJ80" i="32"/>
  <c r="BH80" i="32"/>
  <c r="BE80" i="32"/>
  <c r="BC80" i="32" s="1"/>
  <c r="AW80" i="32"/>
  <c r="AU80" i="32"/>
  <c r="AR80" i="32"/>
  <c r="AX80" i="32" s="1"/>
  <c r="AH80" i="32"/>
  <c r="AF80" i="32"/>
  <c r="AC80" i="32"/>
  <c r="BJ79" i="32"/>
  <c r="BH79" i="32"/>
  <c r="BE79" i="32"/>
  <c r="BC79" i="32" s="1"/>
  <c r="AW79" i="32"/>
  <c r="AU79" i="32"/>
  <c r="AR79" i="32"/>
  <c r="AX79" i="32" s="1"/>
  <c r="AH79" i="32"/>
  <c r="AF79" i="32"/>
  <c r="AC79" i="32"/>
  <c r="BJ78" i="32"/>
  <c r="BH78" i="32"/>
  <c r="BE78" i="32"/>
  <c r="BC78" i="32" s="1"/>
  <c r="AX78" i="32"/>
  <c r="AW78" i="32"/>
  <c r="AU78" i="32"/>
  <c r="AR78" i="32"/>
  <c r="AN78" i="32" s="1"/>
  <c r="AH78" i="32"/>
  <c r="AF78" i="32"/>
  <c r="AC78" i="32"/>
  <c r="BJ77" i="32"/>
  <c r="BH77" i="32"/>
  <c r="BE77" i="32"/>
  <c r="BK77" i="32" s="1"/>
  <c r="AW77" i="32"/>
  <c r="AU77" i="32"/>
  <c r="AR77" i="32"/>
  <c r="AX77" i="32" s="1"/>
  <c r="AH77" i="32"/>
  <c r="AF77" i="32"/>
  <c r="AC77" i="32"/>
  <c r="BK76" i="32"/>
  <c r="BJ76" i="32"/>
  <c r="BH76" i="32"/>
  <c r="BE76" i="32"/>
  <c r="BC76" i="32" s="1"/>
  <c r="AX76" i="32"/>
  <c r="AW76" i="32"/>
  <c r="AU76" i="32"/>
  <c r="AR76" i="32"/>
  <c r="AN76" i="32" s="1"/>
  <c r="AH76" i="32"/>
  <c r="AF76" i="32"/>
  <c r="AC76" i="32"/>
  <c r="BJ75" i="32"/>
  <c r="BH75" i="32"/>
  <c r="BE75" i="32"/>
  <c r="BC75" i="32" s="1"/>
  <c r="AV75" i="32"/>
  <c r="AX75" i="32" s="1"/>
  <c r="AU75" i="32"/>
  <c r="AH75" i="32"/>
  <c r="AF75" i="32"/>
  <c r="AC75" i="32"/>
  <c r="BJ74" i="32"/>
  <c r="BH74" i="32"/>
  <c r="BE74" i="32"/>
  <c r="BC74" i="32" s="1"/>
  <c r="AX74" i="32"/>
  <c r="AW74" i="32"/>
  <c r="AU74" i="32"/>
  <c r="AR74" i="32"/>
  <c r="AN74" i="32" s="1"/>
  <c r="AI74" i="32"/>
  <c r="N74" i="32" s="1"/>
  <c r="AH74" i="32"/>
  <c r="AF74" i="32"/>
  <c r="S74" i="32"/>
  <c r="BJ73" i="32"/>
  <c r="BH73" i="32"/>
  <c r="BE73" i="32"/>
  <c r="BC73" i="32" s="1"/>
  <c r="AV73" i="32"/>
  <c r="AW73" i="32" s="1"/>
  <c r="AU73" i="32"/>
  <c r="AH73" i="32"/>
  <c r="AF73" i="32"/>
  <c r="AC73" i="32"/>
  <c r="BK72" i="32"/>
  <c r="BJ72" i="32"/>
  <c r="BH72" i="32"/>
  <c r="BE72" i="32"/>
  <c r="BC72" i="32" s="1"/>
  <c r="AX72" i="32"/>
  <c r="AW72" i="32"/>
  <c r="AU72" i="32"/>
  <c r="AR72" i="32"/>
  <c r="AN72" i="32" s="1"/>
  <c r="AH72" i="32"/>
  <c r="AF72" i="32"/>
  <c r="AC72" i="32"/>
  <c r="BJ71" i="32"/>
  <c r="BH71" i="32"/>
  <c r="BE71" i="32"/>
  <c r="BC71" i="32" s="1"/>
  <c r="AW71" i="32"/>
  <c r="AU71" i="32"/>
  <c r="AR71" i="32"/>
  <c r="AN71" i="32" s="1"/>
  <c r="AH71" i="32"/>
  <c r="AF71" i="32"/>
  <c r="AC71" i="32"/>
  <c r="BJ70" i="32"/>
  <c r="BH70" i="32"/>
  <c r="BE70" i="32"/>
  <c r="BC70" i="32" s="1"/>
  <c r="AW70" i="32"/>
  <c r="AT70" i="32"/>
  <c r="AU70" i="32" s="1"/>
  <c r="AH70" i="32"/>
  <c r="AF70" i="32"/>
  <c r="AC70" i="32"/>
  <c r="BJ69" i="32"/>
  <c r="BH69" i="32"/>
  <c r="BE69" i="32"/>
  <c r="BC69" i="32" s="1"/>
  <c r="AV69" i="32"/>
  <c r="AW69" i="32" s="1"/>
  <c r="AU69" i="32"/>
  <c r="AH69" i="32"/>
  <c r="AF69" i="32"/>
  <c r="AC69" i="32"/>
  <c r="AF68" i="32"/>
  <c r="AD68" i="32" s="1"/>
  <c r="AC68" i="32"/>
  <c r="AF67" i="32"/>
  <c r="AD67" i="32" s="1"/>
  <c r="AC67" i="32"/>
  <c r="AF66" i="32"/>
  <c r="AD66" i="32" s="1"/>
  <c r="AC66" i="32"/>
  <c r="BJ65" i="32"/>
  <c r="BH65" i="32"/>
  <c r="BE65" i="32"/>
  <c r="BC65" i="32" s="1"/>
  <c r="AW65" i="32"/>
  <c r="AT65" i="32"/>
  <c r="AU65" i="32" s="1"/>
  <c r="AH65" i="32"/>
  <c r="AF65" i="32"/>
  <c r="AC65" i="32"/>
  <c r="I65" i="32"/>
  <c r="BJ64" i="32"/>
  <c r="BH64" i="32"/>
  <c r="BE64" i="32"/>
  <c r="BC64" i="32" s="1"/>
  <c r="AW64" i="32"/>
  <c r="AU64" i="32"/>
  <c r="AR64" i="32"/>
  <c r="AX64" i="32" s="1"/>
  <c r="AH64" i="32"/>
  <c r="AF64" i="32"/>
  <c r="AC64" i="32"/>
  <c r="I64" i="32"/>
  <c r="BJ63" i="32"/>
  <c r="BH63" i="32"/>
  <c r="BE63" i="32"/>
  <c r="BC63" i="32" s="1"/>
  <c r="AW63" i="32"/>
  <c r="AT63" i="32"/>
  <c r="AR63" i="32" s="1"/>
  <c r="AX63" i="32" s="1"/>
  <c r="AS63" i="32"/>
  <c r="AH63" i="32"/>
  <c r="AF63" i="32"/>
  <c r="AC63" i="32"/>
  <c r="I63" i="32"/>
  <c r="BJ62" i="32"/>
  <c r="BH62" i="32"/>
  <c r="BE62" i="32"/>
  <c r="BC62" i="32" s="1"/>
  <c r="AW62" i="32"/>
  <c r="AU62" i="32"/>
  <c r="AR62" i="32"/>
  <c r="AX62" i="32" s="1"/>
  <c r="AH62" i="32"/>
  <c r="AF62" i="32"/>
  <c r="AC62" i="32"/>
  <c r="I62" i="32"/>
  <c r="BT61" i="32"/>
  <c r="BT60" i="32" s="1"/>
  <c r="BS61" i="32"/>
  <c r="BR61" i="32"/>
  <c r="BR60" i="32" s="1"/>
  <c r="BQ61" i="32"/>
  <c r="BP61" i="32"/>
  <c r="BP60" i="32" s="1"/>
  <c r="BO61" i="32"/>
  <c r="BN61" i="32"/>
  <c r="BM61" i="32"/>
  <c r="BL61" i="32"/>
  <c r="BL60" i="32" s="1"/>
  <c r="BI61" i="32"/>
  <c r="BG61" i="32"/>
  <c r="BG60" i="32" s="1"/>
  <c r="AZ61" i="32"/>
  <c r="AY61" i="32"/>
  <c r="AY60" i="32" s="1"/>
  <c r="AG61" i="32"/>
  <c r="AE60" i="32"/>
  <c r="T61" i="32"/>
  <c r="T60" i="32" s="1"/>
  <c r="H61" i="32"/>
  <c r="H60" i="32" s="1"/>
  <c r="G61" i="32"/>
  <c r="F61" i="32"/>
  <c r="BN60" i="32"/>
  <c r="BJ59" i="32"/>
  <c r="BH59" i="32"/>
  <c r="BE59" i="32"/>
  <c r="BC59" i="32" s="1"/>
  <c r="AV59" i="32"/>
  <c r="AW59" i="32" s="1"/>
  <c r="AW58" i="32" s="1"/>
  <c r="AU59" i="32"/>
  <c r="AU58" i="32" s="1"/>
  <c r="AY58" i="32" s="1"/>
  <c r="AH59" i="32"/>
  <c r="AH58" i="32" s="1"/>
  <c r="AF59" i="32"/>
  <c r="AC59" i="32"/>
  <c r="BM58" i="32"/>
  <c r="BL58" i="32"/>
  <c r="BK58" i="32"/>
  <c r="BJ58" i="32"/>
  <c r="BI58" i="32"/>
  <c r="BG58" i="32"/>
  <c r="AV58" i="32"/>
  <c r="AZ58" i="32" s="1"/>
  <c r="AT58" i="32"/>
  <c r="AG58" i="32"/>
  <c r="AE58" i="32"/>
  <c r="O58" i="32"/>
  <c r="O28" i="32" s="1"/>
  <c r="M58" i="32"/>
  <c r="L58" i="32"/>
  <c r="K58" i="32"/>
  <c r="J58" i="32"/>
  <c r="I58" i="32"/>
  <c r="H58" i="32"/>
  <c r="G58" i="32"/>
  <c r="F58" i="32"/>
  <c r="BJ57" i="32"/>
  <c r="BH57" i="32"/>
  <c r="BE57" i="32"/>
  <c r="BC57" i="32" s="1"/>
  <c r="AV57" i="32"/>
  <c r="AW57" i="32" s="1"/>
  <c r="AU57" i="32"/>
  <c r="AH57" i="32"/>
  <c r="AF57" i="32"/>
  <c r="AC57" i="32"/>
  <c r="BJ56" i="32"/>
  <c r="BH56" i="32"/>
  <c r="BE56" i="32"/>
  <c r="BC56" i="32" s="1"/>
  <c r="AV56" i="32"/>
  <c r="AX56" i="32" s="1"/>
  <c r="AU56" i="32"/>
  <c r="AR56" i="32"/>
  <c r="AN56" i="32" s="1"/>
  <c r="AH56" i="32"/>
  <c r="AF56" i="32"/>
  <c r="AC56" i="32"/>
  <c r="BJ55" i="32"/>
  <c r="BH55" i="32"/>
  <c r="BE55" i="32"/>
  <c r="BC55" i="32" s="1"/>
  <c r="AX55" i="32"/>
  <c r="AW55" i="32"/>
  <c r="AU55" i="32"/>
  <c r="AR55" i="32"/>
  <c r="AN55" i="32" s="1"/>
  <c r="AH55" i="32"/>
  <c r="AF55" i="32"/>
  <c r="AC55" i="32"/>
  <c r="BK54" i="32"/>
  <c r="BK41" i="32" s="1"/>
  <c r="BJ54" i="32"/>
  <c r="BH54" i="32"/>
  <c r="BE54" i="32"/>
  <c r="BC54" i="32" s="1"/>
  <c r="AX54" i="32"/>
  <c r="AW54" i="32"/>
  <c r="AU54" i="32"/>
  <c r="AR54" i="32"/>
  <c r="AN54" i="32" s="1"/>
  <c r="AH54" i="32"/>
  <c r="AF54" i="32"/>
  <c r="AC54" i="32"/>
  <c r="BJ53" i="32"/>
  <c r="BH53" i="32"/>
  <c r="BE53" i="32"/>
  <c r="BC53" i="32" s="1"/>
  <c r="AV53" i="32"/>
  <c r="AX53" i="32" s="1"/>
  <c r="AU53" i="32"/>
  <c r="AH53" i="32"/>
  <c r="AF53" i="32"/>
  <c r="AC53" i="32"/>
  <c r="BJ52" i="32"/>
  <c r="BH52" i="32"/>
  <c r="BE52" i="32"/>
  <c r="BC52" i="32" s="1"/>
  <c r="AV52" i="32"/>
  <c r="AW52" i="32" s="1"/>
  <c r="AU52" i="32"/>
  <c r="AH52" i="32"/>
  <c r="AF52" i="32"/>
  <c r="AC52" i="32"/>
  <c r="BJ51" i="32"/>
  <c r="BH51" i="32"/>
  <c r="BE51" i="32"/>
  <c r="BC51" i="32" s="1"/>
  <c r="AV51" i="32"/>
  <c r="AX51" i="32" s="1"/>
  <c r="AU51" i="32"/>
  <c r="AR51" i="32"/>
  <c r="AN51" i="32" s="1"/>
  <c r="AH51" i="32"/>
  <c r="AF51" i="32"/>
  <c r="AC51" i="32"/>
  <c r="BJ50" i="32"/>
  <c r="BH50" i="32"/>
  <c r="BE50" i="32"/>
  <c r="BC50" i="32" s="1"/>
  <c r="AV50" i="32"/>
  <c r="AW50" i="32" s="1"/>
  <c r="AU50" i="32"/>
  <c r="AR50" i="32"/>
  <c r="AN50" i="32" s="1"/>
  <c r="AH50" i="32"/>
  <c r="AF50" i="32"/>
  <c r="AC50" i="32"/>
  <c r="BJ49" i="32"/>
  <c r="BH49" i="32"/>
  <c r="BE49" i="32"/>
  <c r="BC49" i="32" s="1"/>
  <c r="AV49" i="32"/>
  <c r="AX49" i="32" s="1"/>
  <c r="AU49" i="32"/>
  <c r="AH49" i="32"/>
  <c r="AF49" i="32"/>
  <c r="AC49" i="32"/>
  <c r="BJ48" i="32"/>
  <c r="BH48" i="32"/>
  <c r="BE48" i="32"/>
  <c r="BC48" i="32" s="1"/>
  <c r="AV48" i="32"/>
  <c r="AW48" i="32" s="1"/>
  <c r="AU48" i="32"/>
  <c r="AH48" i="32"/>
  <c r="AF48" i="32"/>
  <c r="AC48" i="32"/>
  <c r="BJ47" i="32"/>
  <c r="BH47" i="32"/>
  <c r="BE47" i="32"/>
  <c r="BC47" i="32" s="1"/>
  <c r="AV47" i="32"/>
  <c r="AX47" i="32" s="1"/>
  <c r="AU47" i="32"/>
  <c r="AR47" i="32"/>
  <c r="AN47" i="32" s="1"/>
  <c r="AH47" i="32"/>
  <c r="AF47" i="32"/>
  <c r="AC47" i="32"/>
  <c r="BJ46" i="32"/>
  <c r="BH46" i="32"/>
  <c r="BE46" i="32"/>
  <c r="BC46" i="32" s="1"/>
  <c r="AW46" i="32"/>
  <c r="AT46" i="32"/>
  <c r="AU46" i="32" s="1"/>
  <c r="AH46" i="32"/>
  <c r="AF46" i="32"/>
  <c r="AC46" i="32"/>
  <c r="BJ45" i="32"/>
  <c r="BH45" i="32"/>
  <c r="BE45" i="32"/>
  <c r="BC45" i="32" s="1"/>
  <c r="AW45" i="32"/>
  <c r="AT45" i="32"/>
  <c r="AU45" i="32" s="1"/>
  <c r="AH45" i="32"/>
  <c r="AF45" i="32"/>
  <c r="AC45" i="32"/>
  <c r="BJ44" i="32"/>
  <c r="BH44" i="32"/>
  <c r="BE44" i="32"/>
  <c r="BC44" i="32" s="1"/>
  <c r="AW44" i="32"/>
  <c r="AT44" i="32"/>
  <c r="AU44" i="32" s="1"/>
  <c r="AH44" i="32"/>
  <c r="AF44" i="32"/>
  <c r="I44" i="32"/>
  <c r="BJ43" i="32"/>
  <c r="BH43" i="32"/>
  <c r="BE43" i="32"/>
  <c r="BC43" i="32" s="1"/>
  <c r="AW43" i="32"/>
  <c r="AT43" i="32"/>
  <c r="AU43" i="32" s="1"/>
  <c r="AH43" i="32"/>
  <c r="AF43" i="32"/>
  <c r="AC43" i="32"/>
  <c r="I43" i="32"/>
  <c r="BJ42" i="32"/>
  <c r="BH42" i="32"/>
  <c r="BE42" i="32"/>
  <c r="BC42" i="32" s="1"/>
  <c r="AW42" i="32"/>
  <c r="AU42" i="32"/>
  <c r="AR42" i="32"/>
  <c r="AN42" i="32" s="1"/>
  <c r="AH42" i="32"/>
  <c r="AF42" i="32"/>
  <c r="AC42" i="32"/>
  <c r="I42" i="32"/>
  <c r="BT41" i="32"/>
  <c r="BT40" i="32" s="1"/>
  <c r="BS41" i="32"/>
  <c r="BS40" i="32" s="1"/>
  <c r="BR41" i="32"/>
  <c r="BR40" i="32" s="1"/>
  <c r="BQ41" i="32"/>
  <c r="BQ40" i="32" s="1"/>
  <c r="BP41" i="32"/>
  <c r="BP40" i="32" s="1"/>
  <c r="BO41" i="32"/>
  <c r="BO40" i="32" s="1"/>
  <c r="BN41" i="32"/>
  <c r="BN40" i="32" s="1"/>
  <c r="BM41" i="32"/>
  <c r="BL41" i="32"/>
  <c r="BI41" i="32"/>
  <c r="BG41" i="32"/>
  <c r="AZ41" i="32"/>
  <c r="AY41" i="32"/>
  <c r="AG41" i="32"/>
  <c r="AG40" i="32" s="1"/>
  <c r="AE41" i="32"/>
  <c r="T41" i="32"/>
  <c r="T40" i="32" s="1"/>
  <c r="M41" i="32"/>
  <c r="H41" i="32"/>
  <c r="H40" i="32" s="1"/>
  <c r="G41" i="32"/>
  <c r="F41" i="32"/>
  <c r="BJ39" i="32"/>
  <c r="BH39" i="32"/>
  <c r="BE39" i="32"/>
  <c r="BC39" i="32" s="1"/>
  <c r="AW39" i="32"/>
  <c r="AT39" i="32"/>
  <c r="AX39" i="32" s="1"/>
  <c r="AH39" i="32"/>
  <c r="AF39" i="32"/>
  <c r="AI39" i="32"/>
  <c r="N39" i="32" s="1"/>
  <c r="BJ38" i="32"/>
  <c r="BH38" i="32"/>
  <c r="BE38" i="32"/>
  <c r="BC38" i="32" s="1"/>
  <c r="AW38" i="32"/>
  <c r="AT38" i="32"/>
  <c r="AX38" i="32" s="1"/>
  <c r="AH38" i="32"/>
  <c r="AF38" i="32"/>
  <c r="S38" i="32"/>
  <c r="BJ37" i="32"/>
  <c r="BH37" i="32"/>
  <c r="BE37" i="32"/>
  <c r="BC37" i="32" s="1"/>
  <c r="AW37" i="32"/>
  <c r="AU37" i="32"/>
  <c r="AR37" i="32"/>
  <c r="AX37" i="32" s="1"/>
  <c r="AH37" i="32"/>
  <c r="AF37" i="32"/>
  <c r="AI37" i="32"/>
  <c r="N37" i="32" s="1"/>
  <c r="BJ36" i="32"/>
  <c r="BH36" i="32"/>
  <c r="BE36" i="32"/>
  <c r="BC36" i="32" s="1"/>
  <c r="AW36" i="32"/>
  <c r="AU36" i="32"/>
  <c r="AR36" i="32"/>
  <c r="AX36" i="32" s="1"/>
  <c r="AH36" i="32"/>
  <c r="AF36" i="32"/>
  <c r="AI36" i="32"/>
  <c r="N36" i="32" s="1"/>
  <c r="I36" i="32"/>
  <c r="BJ35" i="32"/>
  <c r="BH35" i="32"/>
  <c r="BE35" i="32"/>
  <c r="BC35" i="32" s="1"/>
  <c r="AW35" i="32"/>
  <c r="AU35" i="32"/>
  <c r="AR35" i="32"/>
  <c r="AX35" i="32" s="1"/>
  <c r="AH35" i="32"/>
  <c r="AF35" i="32"/>
  <c r="AI35" i="32"/>
  <c r="N35" i="32" s="1"/>
  <c r="I35" i="32"/>
  <c r="BJ34" i="32"/>
  <c r="BH34" i="32"/>
  <c r="BE34" i="32"/>
  <c r="BC34" i="32" s="1"/>
  <c r="AW34" i="32"/>
  <c r="AT34" i="32"/>
  <c r="AU34" i="32" s="1"/>
  <c r="AH34" i="32"/>
  <c r="AF34" i="32"/>
  <c r="I34" i="32"/>
  <c r="BJ33" i="32"/>
  <c r="BH33" i="32"/>
  <c r="BE33" i="32"/>
  <c r="BC33" i="32" s="1"/>
  <c r="AW33" i="32"/>
  <c r="AU33" i="32"/>
  <c r="AR33" i="32"/>
  <c r="AX33" i="32" s="1"/>
  <c r="AH33" i="32"/>
  <c r="AF33" i="32"/>
  <c r="AI33" i="32"/>
  <c r="N33" i="32" s="1"/>
  <c r="I33" i="32"/>
  <c r="BJ32" i="32"/>
  <c r="BH32" i="32"/>
  <c r="BE32" i="32"/>
  <c r="BC32" i="32" s="1"/>
  <c r="AW32" i="32"/>
  <c r="AU32" i="32"/>
  <c r="AR32" i="32"/>
  <c r="AX32" i="32" s="1"/>
  <c r="AH32" i="32"/>
  <c r="AF32" i="32"/>
  <c r="AI32" i="32"/>
  <c r="N32" i="32" s="1"/>
  <c r="I32" i="32"/>
  <c r="BJ31" i="32"/>
  <c r="BH31" i="32"/>
  <c r="BE31" i="32"/>
  <c r="BC31" i="32" s="1"/>
  <c r="AW31" i="32"/>
  <c r="AW30" i="32" s="1"/>
  <c r="AW29" i="32" s="1"/>
  <c r="AU31" i="32"/>
  <c r="AR31" i="32"/>
  <c r="AX31" i="32" s="1"/>
  <c r="AH31" i="32"/>
  <c r="AE31" i="32"/>
  <c r="AE30" i="32" s="1"/>
  <c r="AE29" i="32" s="1"/>
  <c r="I31" i="32"/>
  <c r="BM30" i="32"/>
  <c r="BM29" i="32" s="1"/>
  <c r="BL30" i="32"/>
  <c r="BK30" i="32"/>
  <c r="BK29" i="32" s="1"/>
  <c r="BI30" i="32"/>
  <c r="BI29" i="32" s="1"/>
  <c r="BG30" i="32"/>
  <c r="BG29" i="32" s="1"/>
  <c r="BD30" i="32"/>
  <c r="BD29" i="32" s="1"/>
  <c r="AZ30" i="32"/>
  <c r="AZ29" i="32" s="1"/>
  <c r="AY30" i="32"/>
  <c r="AY29" i="32" s="1"/>
  <c r="AV30" i="32"/>
  <c r="AV29" i="32" s="1"/>
  <c r="AT30" i="32"/>
  <c r="AT29" i="32" s="1"/>
  <c r="AG30" i="32"/>
  <c r="AG29" i="32" s="1"/>
  <c r="T30" i="32"/>
  <c r="T29" i="32" s="1"/>
  <c r="M30" i="32"/>
  <c r="M29" i="32" s="1"/>
  <c r="H30" i="32"/>
  <c r="H29" i="32" s="1"/>
  <c r="G30" i="32"/>
  <c r="G29" i="32" s="1"/>
  <c r="F30" i="32"/>
  <c r="F29" i="32" s="1"/>
  <c r="BL29" i="32"/>
  <c r="T28" i="32"/>
  <c r="BA27" i="32"/>
  <c r="Q27" i="32"/>
  <c r="O27" i="32"/>
  <c r="L27" i="32"/>
  <c r="K27" i="32"/>
  <c r="J27" i="32"/>
  <c r="AV41" i="32" l="1"/>
  <c r="AV40" i="32" s="1"/>
  <c r="BM60" i="32"/>
  <c r="AR48" i="32"/>
  <c r="AN48" i="32" s="1"/>
  <c r="AR57" i="32"/>
  <c r="AN57" i="32" s="1"/>
  <c r="AR59" i="32"/>
  <c r="AX59" i="32" s="1"/>
  <c r="AX58" i="32" s="1"/>
  <c r="AR69" i="32"/>
  <c r="AX69" i="32" s="1"/>
  <c r="AV91" i="32"/>
  <c r="AV28" i="32" s="1"/>
  <c r="AR95" i="32"/>
  <c r="AX95" i="32" s="1"/>
  <c r="BM40" i="32"/>
  <c r="I41" i="32"/>
  <c r="I40" i="32" s="1"/>
  <c r="AR49" i="32"/>
  <c r="AN49" i="32" s="1"/>
  <c r="AR53" i="32"/>
  <c r="AN53" i="32" s="1"/>
  <c r="BK40" i="32"/>
  <c r="AR58" i="32"/>
  <c r="AY28" i="32"/>
  <c r="AV61" i="32"/>
  <c r="BI60" i="32"/>
  <c r="BO60" i="32"/>
  <c r="BS60" i="32"/>
  <c r="AR73" i="32"/>
  <c r="AX73" i="32" s="1"/>
  <c r="AR75" i="32"/>
  <c r="AN75" i="32" s="1"/>
  <c r="AR86" i="32"/>
  <c r="AX86" i="32" s="1"/>
  <c r="AR107" i="32"/>
  <c r="AX107" i="32" s="1"/>
  <c r="AE112" i="32"/>
  <c r="AR125" i="32"/>
  <c r="AN125" i="32" s="1"/>
  <c r="AR129" i="32"/>
  <c r="AX129" i="32" s="1"/>
  <c r="AR144" i="32"/>
  <c r="AX144" i="32" s="1"/>
  <c r="AV149" i="32"/>
  <c r="AV148" i="32" s="1"/>
  <c r="AR152" i="32"/>
  <c r="AX152" i="32" s="1"/>
  <c r="AR160" i="32"/>
  <c r="AR169" i="32"/>
  <c r="AX169" i="32" s="1"/>
  <c r="AH176" i="32"/>
  <c r="AH175" i="32" s="1"/>
  <c r="BI185" i="32"/>
  <c r="AR227" i="32"/>
  <c r="AX227" i="32" s="1"/>
  <c r="AR231" i="32"/>
  <c r="AX231" i="32" s="1"/>
  <c r="AR263" i="32"/>
  <c r="AX263" i="32" s="1"/>
  <c r="AV266" i="32"/>
  <c r="AH272" i="32"/>
  <c r="AH271" i="32" s="1"/>
  <c r="AN278" i="32"/>
  <c r="BF278" i="32"/>
  <c r="AD279" i="32"/>
  <c r="BF279" i="32"/>
  <c r="AD280" i="32"/>
  <c r="AN281" i="32"/>
  <c r="BF282" i="32"/>
  <c r="AD285" i="32"/>
  <c r="BF288" i="32"/>
  <c r="AD289" i="32"/>
  <c r="BF290" i="32"/>
  <c r="AN309" i="32"/>
  <c r="AD310" i="32"/>
  <c r="AR312" i="32"/>
  <c r="AX312" i="32" s="1"/>
  <c r="BF312" i="32"/>
  <c r="AD318" i="32"/>
  <c r="BL28" i="32"/>
  <c r="AZ60" i="32"/>
  <c r="BQ60" i="32"/>
  <c r="AT61" i="32"/>
  <c r="AT60" i="32" s="1"/>
  <c r="AT112" i="32"/>
  <c r="AT111" i="32" s="1"/>
  <c r="AV176" i="32"/>
  <c r="G185" i="32"/>
  <c r="AV210" i="32"/>
  <c r="AV209" i="32" s="1"/>
  <c r="AY246" i="32"/>
  <c r="AV272" i="32"/>
  <c r="AV271" i="32" s="1"/>
  <c r="AU272" i="32"/>
  <c r="AU271" i="32" s="1"/>
  <c r="AS319" i="32"/>
  <c r="BF319" i="32"/>
  <c r="BG28" i="32"/>
  <c r="F40" i="32"/>
  <c r="AR52" i="32"/>
  <c r="AN52" i="32" s="1"/>
  <c r="AG60" i="32"/>
  <c r="AV97" i="32"/>
  <c r="AV96" i="32" s="1"/>
  <c r="AR106" i="32"/>
  <c r="AV112" i="32"/>
  <c r="AR124" i="32"/>
  <c r="AX124" i="32" s="1"/>
  <c r="AR128" i="32"/>
  <c r="AX128" i="32" s="1"/>
  <c r="AR159" i="32"/>
  <c r="AR226" i="32"/>
  <c r="AR230" i="32"/>
  <c r="AX230" i="32" s="1"/>
  <c r="BG247" i="32"/>
  <c r="AR253" i="32"/>
  <c r="AX253" i="32" s="1"/>
  <c r="AR265" i="32"/>
  <c r="AX265" i="32" s="1"/>
  <c r="AW266" i="32"/>
  <c r="AR269" i="32"/>
  <c r="AN269" i="32" s="1"/>
  <c r="AR308" i="32"/>
  <c r="AX308" i="32" s="1"/>
  <c r="AR311" i="32"/>
  <c r="AX311" i="32" s="1"/>
  <c r="AV321" i="32"/>
  <c r="AV320" i="32" s="1"/>
  <c r="AR323" i="32"/>
  <c r="AX323" i="32" s="1"/>
  <c r="AC116" i="32"/>
  <c r="AR191" i="32"/>
  <c r="AX191" i="32" s="1"/>
  <c r="AR322" i="32"/>
  <c r="AN322" i="32" s="1"/>
  <c r="I30" i="32"/>
  <c r="AR34" i="32"/>
  <c r="AX34" i="32" s="1"/>
  <c r="AT41" i="32"/>
  <c r="AT40" i="32" s="1"/>
  <c r="BL40" i="32"/>
  <c r="AR235" i="32"/>
  <c r="AR239" i="32"/>
  <c r="AF31" i="32"/>
  <c r="AC31" i="32"/>
  <c r="AR43" i="32"/>
  <c r="AX43" i="32" s="1"/>
  <c r="AR65" i="32"/>
  <c r="AX65" i="32" s="1"/>
  <c r="AR70" i="32"/>
  <c r="AN70" i="32" s="1"/>
  <c r="AR184" i="32"/>
  <c r="AX184" i="32" s="1"/>
  <c r="AX183" i="32" s="1"/>
  <c r="AR188" i="32"/>
  <c r="AX188" i="32" s="1"/>
  <c r="AC192" i="32"/>
  <c r="AS228" i="32"/>
  <c r="BE231" i="32"/>
  <c r="BK231" i="32" s="1"/>
  <c r="AR245" i="32"/>
  <c r="AX245" i="32" s="1"/>
  <c r="BE253" i="32"/>
  <c r="BK253" i="32" s="1"/>
  <c r="BK247" i="32" s="1"/>
  <c r="AS265" i="32"/>
  <c r="AR100" i="32"/>
  <c r="AX100" i="32" s="1"/>
  <c r="AR116" i="32"/>
  <c r="AN116" i="32" s="1"/>
  <c r="AR131" i="32"/>
  <c r="AX131" i="32" s="1"/>
  <c r="AV132" i="32"/>
  <c r="AR142" i="32"/>
  <c r="AX142" i="32" s="1"/>
  <c r="BF322" i="32"/>
  <c r="AS123" i="32"/>
  <c r="BL27" i="32"/>
  <c r="BG40" i="32"/>
  <c r="F60" i="32"/>
  <c r="BE207" i="32"/>
  <c r="BL185" i="32"/>
  <c r="I28" i="32"/>
  <c r="G175" i="32"/>
  <c r="BI175" i="32"/>
  <c r="T185" i="32"/>
  <c r="AG185" i="32"/>
  <c r="AV185" i="32"/>
  <c r="BM185" i="32"/>
  <c r="AE185" i="32"/>
  <c r="AG28" i="32"/>
  <c r="BH41" i="32"/>
  <c r="BJ41" i="32"/>
  <c r="BJ40" i="32" s="1"/>
  <c r="BF49" i="32"/>
  <c r="G40" i="32"/>
  <c r="K28" i="32"/>
  <c r="BE58" i="32"/>
  <c r="BC58" i="32" s="1"/>
  <c r="BI28" i="32"/>
  <c r="BM28" i="32"/>
  <c r="AD59" i="32"/>
  <c r="AG111" i="32"/>
  <c r="AV111" i="32"/>
  <c r="BF159" i="32"/>
  <c r="AD163" i="32"/>
  <c r="F175" i="32"/>
  <c r="M175" i="32"/>
  <c r="AV175" i="32"/>
  <c r="M185" i="32"/>
  <c r="BJ210" i="32"/>
  <c r="BJ209" i="32" s="1"/>
  <c r="AU210" i="32"/>
  <c r="AU209" i="32" s="1"/>
  <c r="AS214" i="32"/>
  <c r="S217" i="32"/>
  <c r="AD217" i="32"/>
  <c r="AS218" i="32"/>
  <c r="AA28" i="32"/>
  <c r="S49" i="32"/>
  <c r="M40" i="32"/>
  <c r="AP152" i="32"/>
  <c r="AP222" i="32"/>
  <c r="G27" i="32"/>
  <c r="AZ27" i="32"/>
  <c r="G28" i="32"/>
  <c r="BD26" i="32"/>
  <c r="BH30" i="32"/>
  <c r="BH29" i="32" s="1"/>
  <c r="BI40" i="32"/>
  <c r="S48" i="32"/>
  <c r="G60" i="32"/>
  <c r="F28" i="32"/>
  <c r="H28" i="32"/>
  <c r="J28" i="32"/>
  <c r="L28" i="32"/>
  <c r="AZ28" i="32"/>
  <c r="I97" i="32"/>
  <c r="I96" i="32" s="1"/>
  <c r="G111" i="32"/>
  <c r="AY111" i="32"/>
  <c r="BG111" i="32"/>
  <c r="AS121" i="32"/>
  <c r="BF121" i="32"/>
  <c r="AP163" i="32"/>
  <c r="AP178" i="32"/>
  <c r="AP179" i="32"/>
  <c r="AP180" i="32"/>
  <c r="AP181" i="32"/>
  <c r="BF202" i="32"/>
  <c r="AP221" i="32"/>
  <c r="AP223" i="32"/>
  <c r="AP234" i="32"/>
  <c r="AD324" i="32"/>
  <c r="AP241" i="32"/>
  <c r="AP240" i="32"/>
  <c r="AP236" i="32"/>
  <c r="AE40" i="32"/>
  <c r="F185" i="32"/>
  <c r="AH186" i="32"/>
  <c r="AH185" i="32" s="1"/>
  <c r="BJ186" i="32"/>
  <c r="BJ185" i="32" s="1"/>
  <c r="BF192" i="32"/>
  <c r="AS193" i="32"/>
  <c r="AD203" i="32"/>
  <c r="AS203" i="32"/>
  <c r="BF203" i="32"/>
  <c r="AR210" i="32"/>
  <c r="AR209" i="32" s="1"/>
  <c r="BF211" i="32"/>
  <c r="BF212" i="32"/>
  <c r="AS275" i="32"/>
  <c r="AS277" i="32"/>
  <c r="BG27" i="32"/>
  <c r="AE28" i="32"/>
  <c r="AH30" i="32"/>
  <c r="AH29" i="32" s="1"/>
  <c r="BJ30" i="32"/>
  <c r="BJ29" i="32" s="1"/>
  <c r="AD37" i="32"/>
  <c r="BE41" i="32"/>
  <c r="AH41" i="32"/>
  <c r="AH40" i="32" s="1"/>
  <c r="BJ61" i="32"/>
  <c r="BH61" i="32"/>
  <c r="BF47" i="32"/>
  <c r="AD48" i="32"/>
  <c r="BF48" i="32"/>
  <c r="AD49" i="32"/>
  <c r="BE61" i="32"/>
  <c r="BC61" i="32" s="1"/>
  <c r="AZ111" i="32"/>
  <c r="AD122" i="32"/>
  <c r="AD123" i="32"/>
  <c r="AD128" i="32"/>
  <c r="AR135" i="32"/>
  <c r="AR134" i="32" s="1"/>
  <c r="BJ135" i="32"/>
  <c r="BJ134" i="32" s="1"/>
  <c r="AD152" i="32"/>
  <c r="AS215" i="32"/>
  <c r="AD121" i="32"/>
  <c r="BF53" i="32"/>
  <c r="BF84" i="32"/>
  <c r="I61" i="32"/>
  <c r="I60" i="32" s="1"/>
  <c r="AD62" i="32"/>
  <c r="BF62" i="32"/>
  <c r="BF69" i="32"/>
  <c r="AS72" i="32"/>
  <c r="BF72" i="32"/>
  <c r="BF80" i="32"/>
  <c r="AS84" i="32"/>
  <c r="BH210" i="32"/>
  <c r="BH209" i="32" s="1"/>
  <c r="AD211" i="32"/>
  <c r="AS212" i="32"/>
  <c r="AS213" i="32"/>
  <c r="BF213" i="32"/>
  <c r="BF206" i="32"/>
  <c r="AI42" i="32"/>
  <c r="AP42" i="32"/>
  <c r="AI43" i="32"/>
  <c r="N43" i="32" s="1"/>
  <c r="AP43" i="32"/>
  <c r="AI50" i="32"/>
  <c r="N50" i="32" s="1"/>
  <c r="AP50" i="32"/>
  <c r="AI52" i="32"/>
  <c r="N52" i="32" s="1"/>
  <c r="AP52" i="32"/>
  <c r="AI54" i="32"/>
  <c r="N54" i="32" s="1"/>
  <c r="AP54" i="32"/>
  <c r="AI57" i="32"/>
  <c r="N57" i="32" s="1"/>
  <c r="AP57" i="32"/>
  <c r="AC58" i="32"/>
  <c r="S58" i="32" s="1"/>
  <c r="AI62" i="32"/>
  <c r="AP62" i="32"/>
  <c r="AI63" i="32"/>
  <c r="N63" i="32" s="1"/>
  <c r="AP63" i="32"/>
  <c r="BF65" i="32"/>
  <c r="AI66" i="32"/>
  <c r="N66" i="32" s="1"/>
  <c r="AP66" i="32"/>
  <c r="AI67" i="32"/>
  <c r="N67" i="32" s="1"/>
  <c r="AP67" i="32"/>
  <c r="AI68" i="32"/>
  <c r="N68" i="32" s="1"/>
  <c r="AP68" i="32"/>
  <c r="AI69" i="32"/>
  <c r="N69" i="32" s="1"/>
  <c r="AP69" i="32"/>
  <c r="AI71" i="32"/>
  <c r="N71" i="32" s="1"/>
  <c r="AP71" i="32"/>
  <c r="AI73" i="32"/>
  <c r="N73" i="32" s="1"/>
  <c r="AP73" i="32"/>
  <c r="AI75" i="32"/>
  <c r="N75" i="32" s="1"/>
  <c r="AP75" i="32"/>
  <c r="AI77" i="32"/>
  <c r="N77" i="32" s="1"/>
  <c r="AP77" i="32"/>
  <c r="AI80" i="32"/>
  <c r="N80" i="32" s="1"/>
  <c r="AP80" i="32"/>
  <c r="AI83" i="32"/>
  <c r="N83" i="32" s="1"/>
  <c r="AP83" i="32"/>
  <c r="AI85" i="32"/>
  <c r="N85" i="32" s="1"/>
  <c r="AP85" i="32"/>
  <c r="AI86" i="32"/>
  <c r="N86" i="32" s="1"/>
  <c r="AP86" i="32"/>
  <c r="AI87" i="32"/>
  <c r="N87" i="32" s="1"/>
  <c r="AP87" i="32"/>
  <c r="AI88" i="32"/>
  <c r="N88" i="32" s="1"/>
  <c r="AP88" i="32"/>
  <c r="AI90" i="32"/>
  <c r="N90" i="32" s="1"/>
  <c r="AP90" i="32"/>
  <c r="AI93" i="32"/>
  <c r="N93" i="32" s="1"/>
  <c r="AP93" i="32"/>
  <c r="AI95" i="32"/>
  <c r="N95" i="32" s="1"/>
  <c r="AP95" i="32"/>
  <c r="AI99" i="32"/>
  <c r="N99" i="32" s="1"/>
  <c r="AP99" i="32"/>
  <c r="AI100" i="32"/>
  <c r="N100" i="32" s="1"/>
  <c r="AP100" i="32"/>
  <c r="AI105" i="32"/>
  <c r="N105" i="32" s="1"/>
  <c r="AP105" i="32"/>
  <c r="AI107" i="32"/>
  <c r="N107" i="32" s="1"/>
  <c r="AP107" i="32"/>
  <c r="AI125" i="32"/>
  <c r="N125" i="32" s="1"/>
  <c r="AP125" i="32"/>
  <c r="AI127" i="32"/>
  <c r="N127" i="32" s="1"/>
  <c r="AP127" i="32"/>
  <c r="S129" i="32"/>
  <c r="AP129" i="32"/>
  <c r="AI133" i="32"/>
  <c r="AI132" i="32" s="1"/>
  <c r="AP133" i="32"/>
  <c r="AP132" i="32" s="1"/>
  <c r="AI136" i="32"/>
  <c r="N136" i="32" s="1"/>
  <c r="AP136" i="32"/>
  <c r="AI137" i="32"/>
  <c r="N137" i="32" s="1"/>
  <c r="AP137" i="32"/>
  <c r="S138" i="32"/>
  <c r="AP138" i="32"/>
  <c r="S139" i="32"/>
  <c r="AP139" i="32"/>
  <c r="AI140" i="32"/>
  <c r="N140" i="32" s="1"/>
  <c r="AP140" i="32"/>
  <c r="AI141" i="32"/>
  <c r="N141" i="32" s="1"/>
  <c r="AP141" i="32"/>
  <c r="AI145" i="32"/>
  <c r="N145" i="32" s="1"/>
  <c r="AP145" i="32"/>
  <c r="S147" i="32"/>
  <c r="AP147" i="32"/>
  <c r="S150" i="32"/>
  <c r="AP150" i="32"/>
  <c r="S151" i="32"/>
  <c r="AP151" i="32"/>
  <c r="AI153" i="32"/>
  <c r="N153" i="32" s="1"/>
  <c r="AP153" i="32"/>
  <c r="AI155" i="32"/>
  <c r="N155" i="32" s="1"/>
  <c r="AP155" i="32"/>
  <c r="AI157" i="32"/>
  <c r="N157" i="32" s="1"/>
  <c r="AP157" i="32"/>
  <c r="AI159" i="32"/>
  <c r="N159" i="32" s="1"/>
  <c r="AP159" i="32"/>
  <c r="AI161" i="32"/>
  <c r="N161" i="32" s="1"/>
  <c r="AP161" i="32"/>
  <c r="AI165" i="32"/>
  <c r="N165" i="32" s="1"/>
  <c r="AP165" i="32"/>
  <c r="AI168" i="32"/>
  <c r="N168" i="32" s="1"/>
  <c r="AP168" i="32"/>
  <c r="AI170" i="32"/>
  <c r="N170" i="32" s="1"/>
  <c r="AP170" i="32"/>
  <c r="AI177" i="32"/>
  <c r="N177" i="32" s="1"/>
  <c r="AP177" i="32"/>
  <c r="S190" i="32"/>
  <c r="AP190" i="32"/>
  <c r="AI191" i="32"/>
  <c r="N191" i="32" s="1"/>
  <c r="AP191" i="32"/>
  <c r="AI192" i="32"/>
  <c r="N192" i="32" s="1"/>
  <c r="AP192" i="32"/>
  <c r="AI200" i="32"/>
  <c r="N200" i="32" s="1"/>
  <c r="AP200" i="32"/>
  <c r="AI201" i="32"/>
  <c r="N201" i="32" s="1"/>
  <c r="AP201" i="32"/>
  <c r="AI202" i="32"/>
  <c r="N202" i="32" s="1"/>
  <c r="AP202" i="32"/>
  <c r="AI203" i="32"/>
  <c r="N203" i="32" s="1"/>
  <c r="AP203" i="32"/>
  <c r="AI206" i="32"/>
  <c r="N206" i="32" s="1"/>
  <c r="AP206" i="32"/>
  <c r="AJ185" i="32"/>
  <c r="AJ26" i="32" s="1"/>
  <c r="AJ28" i="32"/>
  <c r="AL185" i="32"/>
  <c r="AL26" i="32" s="1"/>
  <c r="AL28" i="32"/>
  <c r="AO185" i="32"/>
  <c r="AO26" i="32" s="1"/>
  <c r="AO28" i="32"/>
  <c r="AI208" i="32"/>
  <c r="N208" i="32" s="1"/>
  <c r="N207" i="32" s="1"/>
  <c r="AP208" i="32"/>
  <c r="S212" i="32"/>
  <c r="AP212" i="32"/>
  <c r="S213" i="32"/>
  <c r="AP213" i="32"/>
  <c r="S214" i="32"/>
  <c r="AP214" i="32"/>
  <c r="S215" i="32"/>
  <c r="AP215" i="32"/>
  <c r="S216" i="32"/>
  <c r="AP216" i="32"/>
  <c r="AI219" i="32"/>
  <c r="N219" i="32" s="1"/>
  <c r="AP219" i="32"/>
  <c r="S224" i="32"/>
  <c r="AP224" i="32"/>
  <c r="AI226" i="32"/>
  <c r="N226" i="32" s="1"/>
  <c r="AP226" i="32"/>
  <c r="S228" i="32"/>
  <c r="AP228" i="32"/>
  <c r="S229" i="32"/>
  <c r="AP229" i="32"/>
  <c r="S231" i="32"/>
  <c r="AP231" i="32"/>
  <c r="S243" i="32"/>
  <c r="AP243" i="32"/>
  <c r="S245" i="32"/>
  <c r="AP245" i="32"/>
  <c r="AI248" i="32"/>
  <c r="N248" i="32" s="1"/>
  <c r="AP248" i="32"/>
  <c r="S251" i="32"/>
  <c r="AP251" i="32"/>
  <c r="AI255" i="32"/>
  <c r="AP255" i="32"/>
  <c r="AI259" i="32"/>
  <c r="N259" i="32" s="1"/>
  <c r="AP259" i="32"/>
  <c r="AI260" i="32"/>
  <c r="AP260" i="32"/>
  <c r="AI261" i="32"/>
  <c r="N261" i="32" s="1"/>
  <c r="AP261" i="32"/>
  <c r="AI263" i="32"/>
  <c r="AP263" i="32"/>
  <c r="AI268" i="32"/>
  <c r="N268" i="32" s="1"/>
  <c r="AP268" i="32"/>
  <c r="AI273" i="32"/>
  <c r="N273" i="32" s="1"/>
  <c r="AP273" i="32"/>
  <c r="AI274" i="32"/>
  <c r="N274" i="32" s="1"/>
  <c r="AP274" i="32"/>
  <c r="AI275" i="32"/>
  <c r="N275" i="32" s="1"/>
  <c r="AP275" i="32"/>
  <c r="AI276" i="32"/>
  <c r="N276" i="32" s="1"/>
  <c r="AP276" i="32"/>
  <c r="AI277" i="32"/>
  <c r="N277" i="32" s="1"/>
  <c r="AP277" i="32"/>
  <c r="AI302" i="32"/>
  <c r="AP302" i="32"/>
  <c r="AI303" i="32"/>
  <c r="N303" i="32" s="1"/>
  <c r="AP303" i="32"/>
  <c r="AI304" i="32"/>
  <c r="N304" i="32" s="1"/>
  <c r="AP304" i="32"/>
  <c r="S306" i="32"/>
  <c r="AP306" i="32"/>
  <c r="AI308" i="32"/>
  <c r="N308" i="32" s="1"/>
  <c r="AP308" i="32"/>
  <c r="S311" i="32"/>
  <c r="AP311" i="32"/>
  <c r="AI313" i="32"/>
  <c r="N313" i="32" s="1"/>
  <c r="AP313" i="32"/>
  <c r="AI315" i="32"/>
  <c r="N315" i="32" s="1"/>
  <c r="AP315" i="32"/>
  <c r="AI317" i="32"/>
  <c r="N317" i="32" s="1"/>
  <c r="AP317" i="32"/>
  <c r="AD323" i="32"/>
  <c r="AP323" i="32"/>
  <c r="AI45" i="32"/>
  <c r="N45" i="32" s="1"/>
  <c r="AP45" i="32"/>
  <c r="AI46" i="32"/>
  <c r="N46" i="32" s="1"/>
  <c r="AP46" i="32"/>
  <c r="AI47" i="32"/>
  <c r="N47" i="32" s="1"/>
  <c r="AP47" i="32"/>
  <c r="AI48" i="32"/>
  <c r="N48" i="32" s="1"/>
  <c r="AP48" i="32"/>
  <c r="AI49" i="32"/>
  <c r="N49" i="32" s="1"/>
  <c r="AP49" i="32"/>
  <c r="AI51" i="32"/>
  <c r="N51" i="32" s="1"/>
  <c r="AP51" i="32"/>
  <c r="AI53" i="32"/>
  <c r="N53" i="32" s="1"/>
  <c r="AP53" i="32"/>
  <c r="AI55" i="32"/>
  <c r="N55" i="32" s="1"/>
  <c r="AP55" i="32"/>
  <c r="AI56" i="32"/>
  <c r="N56" i="32" s="1"/>
  <c r="AP56" i="32"/>
  <c r="AI59" i="32"/>
  <c r="AI58" i="32" s="1"/>
  <c r="AP59" i="32"/>
  <c r="AP58" i="32" s="1"/>
  <c r="AI64" i="32"/>
  <c r="N64" i="32" s="1"/>
  <c r="AP64" i="32"/>
  <c r="AI65" i="32"/>
  <c r="N65" i="32" s="1"/>
  <c r="AP65" i="32"/>
  <c r="AI70" i="32"/>
  <c r="N70" i="32" s="1"/>
  <c r="AP70" i="32"/>
  <c r="AI72" i="32"/>
  <c r="N72" i="32" s="1"/>
  <c r="AP72" i="32"/>
  <c r="AI76" i="32"/>
  <c r="N76" i="32" s="1"/>
  <c r="AP76" i="32"/>
  <c r="AI78" i="32"/>
  <c r="M78" i="32" s="1"/>
  <c r="AP78" i="32"/>
  <c r="AI79" i="32"/>
  <c r="N79" i="32" s="1"/>
  <c r="AP79" i="32"/>
  <c r="AI81" i="32"/>
  <c r="M81" i="32" s="1"/>
  <c r="AP81" i="32"/>
  <c r="AI82" i="32"/>
  <c r="M82" i="32" s="1"/>
  <c r="AP82" i="32"/>
  <c r="AI84" i="32"/>
  <c r="N84" i="32" s="1"/>
  <c r="AP84" i="32"/>
  <c r="AI89" i="32"/>
  <c r="N89" i="32" s="1"/>
  <c r="AP89" i="32"/>
  <c r="S92" i="32"/>
  <c r="AP92" i="32"/>
  <c r="AI94" i="32"/>
  <c r="M94" i="32" s="1"/>
  <c r="AP94" i="32"/>
  <c r="BF100" i="32"/>
  <c r="AI101" i="32"/>
  <c r="N101" i="32" s="1"/>
  <c r="AP101" i="32"/>
  <c r="AI102" i="32"/>
  <c r="AP102" i="32"/>
  <c r="AI103" i="32"/>
  <c r="N103" i="32" s="1"/>
  <c r="AP103" i="32"/>
  <c r="AI104" i="32"/>
  <c r="N104" i="32" s="1"/>
  <c r="AP104" i="32"/>
  <c r="S106" i="32"/>
  <c r="AP106" i="32"/>
  <c r="S108" i="32"/>
  <c r="AP108" i="32"/>
  <c r="S110" i="32"/>
  <c r="AP110" i="32"/>
  <c r="AI113" i="32"/>
  <c r="AP113" i="32"/>
  <c r="AI115" i="32"/>
  <c r="N115" i="32" s="1"/>
  <c r="AP115" i="32"/>
  <c r="AI116" i="32"/>
  <c r="N116" i="32" s="1"/>
  <c r="AP116" i="32"/>
  <c r="BF116" i="32"/>
  <c r="AI117" i="32"/>
  <c r="N117" i="32" s="1"/>
  <c r="AP117" i="32"/>
  <c r="AI118" i="32"/>
  <c r="N118" i="32" s="1"/>
  <c r="AP118" i="32"/>
  <c r="AI119" i="32"/>
  <c r="N119" i="32" s="1"/>
  <c r="AP119" i="32"/>
  <c r="AI120" i="32"/>
  <c r="N120" i="32" s="1"/>
  <c r="AP120" i="32"/>
  <c r="AI121" i="32"/>
  <c r="N121" i="32" s="1"/>
  <c r="AP121" i="32"/>
  <c r="AI122" i="32"/>
  <c r="N122" i="32" s="1"/>
  <c r="AP122" i="32"/>
  <c r="AI123" i="32"/>
  <c r="N123" i="32" s="1"/>
  <c r="AP123" i="32"/>
  <c r="AI124" i="32"/>
  <c r="N124" i="32" s="1"/>
  <c r="AP124" i="32"/>
  <c r="S126" i="32"/>
  <c r="AP126" i="32"/>
  <c r="AI128" i="32"/>
  <c r="N128" i="32" s="1"/>
  <c r="AP128" i="32"/>
  <c r="AI130" i="32"/>
  <c r="N130" i="32" s="1"/>
  <c r="AP130" i="32"/>
  <c r="AI131" i="32"/>
  <c r="N131" i="32" s="1"/>
  <c r="AP131" i="32"/>
  <c r="AI144" i="32"/>
  <c r="N144" i="32" s="1"/>
  <c r="AP144" i="32"/>
  <c r="S146" i="32"/>
  <c r="AP146" i="32"/>
  <c r="AI154" i="32"/>
  <c r="N154" i="32" s="1"/>
  <c r="AP154" i="32"/>
  <c r="AI156" i="32"/>
  <c r="N156" i="32" s="1"/>
  <c r="AP156" i="32"/>
  <c r="AI158" i="32"/>
  <c r="N158" i="32" s="1"/>
  <c r="AP158" i="32"/>
  <c r="AI160" i="32"/>
  <c r="N160" i="32" s="1"/>
  <c r="AP160" i="32"/>
  <c r="BF161" i="32"/>
  <c r="AI162" i="32"/>
  <c r="N162" i="32" s="1"/>
  <c r="AP162" i="32"/>
  <c r="AI164" i="32"/>
  <c r="N164" i="32" s="1"/>
  <c r="AP164" i="32"/>
  <c r="AI166" i="32"/>
  <c r="N166" i="32" s="1"/>
  <c r="AP166" i="32"/>
  <c r="AI167" i="32"/>
  <c r="N167" i="32" s="1"/>
  <c r="AP167" i="32"/>
  <c r="AI169" i="32"/>
  <c r="N169" i="32" s="1"/>
  <c r="AP169" i="32"/>
  <c r="AI173" i="32"/>
  <c r="N173" i="32" s="1"/>
  <c r="AP173" i="32"/>
  <c r="AI182" i="32"/>
  <c r="AP182" i="32"/>
  <c r="AI184" i="32"/>
  <c r="AP184" i="32"/>
  <c r="AP183" i="32" s="1"/>
  <c r="AI187" i="32"/>
  <c r="AP187" i="32"/>
  <c r="AI188" i="32"/>
  <c r="N188" i="32" s="1"/>
  <c r="AP188" i="32"/>
  <c r="AI189" i="32"/>
  <c r="N189" i="32" s="1"/>
  <c r="AP189" i="32"/>
  <c r="AI197" i="32"/>
  <c r="N197" i="32" s="1"/>
  <c r="AP197" i="32"/>
  <c r="AI198" i="32"/>
  <c r="AP198" i="32"/>
  <c r="S199" i="32"/>
  <c r="AP199" i="32"/>
  <c r="S204" i="32"/>
  <c r="AP204" i="32"/>
  <c r="AI205" i="32"/>
  <c r="N205" i="32" s="1"/>
  <c r="AP205" i="32"/>
  <c r="AS206" i="32"/>
  <c r="AC207" i="32"/>
  <c r="AP207" i="32" s="1"/>
  <c r="AK185" i="32"/>
  <c r="AK28" i="32"/>
  <c r="AM185" i="32"/>
  <c r="AM26" i="32" s="1"/>
  <c r="AM28" i="32"/>
  <c r="BF208" i="32"/>
  <c r="BF207" i="32" s="1"/>
  <c r="AI211" i="32"/>
  <c r="N211" i="32" s="1"/>
  <c r="AP211" i="32"/>
  <c r="AI217" i="32"/>
  <c r="N217" i="32" s="1"/>
  <c r="AP217" i="32"/>
  <c r="S220" i="32"/>
  <c r="AP220" i="32"/>
  <c r="AI225" i="32"/>
  <c r="N225" i="32" s="1"/>
  <c r="AP225" i="32"/>
  <c r="S227" i="32"/>
  <c r="AP227" i="32"/>
  <c r="S230" i="32"/>
  <c r="AP230" i="32"/>
  <c r="AI242" i="32"/>
  <c r="N242" i="32" s="1"/>
  <c r="AP242" i="32"/>
  <c r="S244" i="32"/>
  <c r="AP244" i="32"/>
  <c r="S249" i="32"/>
  <c r="AP249" i="32"/>
  <c r="S250" i="32"/>
  <c r="AP250" i="32"/>
  <c r="S253" i="32"/>
  <c r="AP253" i="32"/>
  <c r="AI257" i="32"/>
  <c r="N257" i="32" s="1"/>
  <c r="AP257" i="32"/>
  <c r="AI265" i="32"/>
  <c r="N265" i="32" s="1"/>
  <c r="AP265" i="32"/>
  <c r="AI267" i="32"/>
  <c r="N267" i="32" s="1"/>
  <c r="AP267" i="32"/>
  <c r="S269" i="32"/>
  <c r="AP269" i="32"/>
  <c r="AI270" i="32"/>
  <c r="N270" i="32" s="1"/>
  <c r="AP270" i="32"/>
  <c r="AI279" i="32"/>
  <c r="N279" i="32" s="1"/>
  <c r="AP279" i="32"/>
  <c r="AI280" i="32"/>
  <c r="N280" i="32" s="1"/>
  <c r="AP280" i="32"/>
  <c r="AI281" i="32"/>
  <c r="N281" i="32" s="1"/>
  <c r="AP281" i="32"/>
  <c r="AI282" i="32"/>
  <c r="N282" i="32" s="1"/>
  <c r="AP282" i="32"/>
  <c r="AI283" i="32"/>
  <c r="N283" i="32" s="1"/>
  <c r="AP283" i="32"/>
  <c r="AI284" i="32"/>
  <c r="N284" i="32" s="1"/>
  <c r="AP284" i="32"/>
  <c r="AI285" i="32"/>
  <c r="N285" i="32" s="1"/>
  <c r="AP285" i="32"/>
  <c r="AI286" i="32"/>
  <c r="N286" i="32" s="1"/>
  <c r="AP286" i="32"/>
  <c r="AI287" i="32"/>
  <c r="N287" i="32" s="1"/>
  <c r="AP287" i="32"/>
  <c r="AI288" i="32"/>
  <c r="N288" i="32" s="1"/>
  <c r="AP288" i="32"/>
  <c r="AI289" i="32"/>
  <c r="N289" i="32" s="1"/>
  <c r="AP289" i="32"/>
  <c r="AI290" i="32"/>
  <c r="N290" i="32" s="1"/>
  <c r="AP290" i="32"/>
  <c r="S291" i="32"/>
  <c r="AP291" i="32"/>
  <c r="AI292" i="32"/>
  <c r="N292" i="32" s="1"/>
  <c r="AP292" i="32"/>
  <c r="AI293" i="32"/>
  <c r="N293" i="32" s="1"/>
  <c r="AP293" i="32"/>
  <c r="AI294" i="32"/>
  <c r="N294" i="32" s="1"/>
  <c r="AP294" i="32"/>
  <c r="S295" i="32"/>
  <c r="AP295" i="32"/>
  <c r="AI296" i="32"/>
  <c r="N296" i="32" s="1"/>
  <c r="AP296" i="32"/>
  <c r="AI297" i="32"/>
  <c r="N297" i="32" s="1"/>
  <c r="AP297" i="32"/>
  <c r="AI298" i="32"/>
  <c r="N298" i="32" s="1"/>
  <c r="AP298" i="32"/>
  <c r="S299" i="32"/>
  <c r="AP299" i="32"/>
  <c r="AI300" i="32"/>
  <c r="N300" i="32" s="1"/>
  <c r="AP300" i="32"/>
  <c r="AI301" i="32"/>
  <c r="N301" i="32" s="1"/>
  <c r="AP301" i="32"/>
  <c r="S305" i="32"/>
  <c r="AP305" i="32"/>
  <c r="AI307" i="32"/>
  <c r="N307" i="32" s="1"/>
  <c r="AP307" i="32"/>
  <c r="AI309" i="32"/>
  <c r="N309" i="32" s="1"/>
  <c r="AP309" i="32"/>
  <c r="S310" i="32"/>
  <c r="AP310" i="32"/>
  <c r="AI312" i="32"/>
  <c r="N312" i="32" s="1"/>
  <c r="AP312" i="32"/>
  <c r="AI314" i="32"/>
  <c r="N314" i="32" s="1"/>
  <c r="AP314" i="32"/>
  <c r="AI316" i="32"/>
  <c r="N316" i="32" s="1"/>
  <c r="AP316" i="32"/>
  <c r="AI318" i="32"/>
  <c r="N318" i="32" s="1"/>
  <c r="AP318" i="32"/>
  <c r="AI319" i="32"/>
  <c r="N319" i="32" s="1"/>
  <c r="AP319" i="32"/>
  <c r="AD322" i="32"/>
  <c r="AD321" i="32" s="1"/>
  <c r="AD320" i="32" s="1"/>
  <c r="AP322" i="32"/>
  <c r="AP321" i="32" s="1"/>
  <c r="AP320" i="32" s="1"/>
  <c r="BF284" i="32"/>
  <c r="AD64" i="32"/>
  <c r="BF99" i="32"/>
  <c r="S140" i="32"/>
  <c r="BF63" i="32"/>
  <c r="AS86" i="32"/>
  <c r="BF86" i="32"/>
  <c r="BF89" i="32"/>
  <c r="AS90" i="32"/>
  <c r="BF94" i="32"/>
  <c r="BF106" i="32"/>
  <c r="BF110" i="32"/>
  <c r="BF98" i="32"/>
  <c r="AD99" i="32"/>
  <c r="BJ112" i="32"/>
  <c r="BJ111" i="32" s="1"/>
  <c r="BF120" i="32"/>
  <c r="S121" i="32"/>
  <c r="BL111" i="32"/>
  <c r="AU266" i="32"/>
  <c r="AS34" i="32"/>
  <c r="AH91" i="32"/>
  <c r="AF91" i="32"/>
  <c r="I135" i="32"/>
  <c r="I134" i="32" s="1"/>
  <c r="BF219" i="32"/>
  <c r="AD287" i="32"/>
  <c r="BF291" i="32"/>
  <c r="AD293" i="32"/>
  <c r="AD309" i="32"/>
  <c r="AX92" i="32"/>
  <c r="AX91" i="32" s="1"/>
  <c r="AN92" i="32"/>
  <c r="AU91" i="32"/>
  <c r="AX106" i="32"/>
  <c r="AN106" i="32"/>
  <c r="BC114" i="32"/>
  <c r="BE112" i="32"/>
  <c r="BC133" i="32"/>
  <c r="BE132" i="32"/>
  <c r="BC132" i="32" s="1"/>
  <c r="AX160" i="32"/>
  <c r="AN160" i="32"/>
  <c r="AI163" i="32"/>
  <c r="N163" i="32" s="1"/>
  <c r="S163" i="32"/>
  <c r="F27" i="32"/>
  <c r="H27" i="32"/>
  <c r="T27" i="32"/>
  <c r="AY27" i="32"/>
  <c r="BD27" i="32"/>
  <c r="BI27" i="32"/>
  <c r="BM27" i="32"/>
  <c r="BE30" i="32"/>
  <c r="BE29" i="32" s="1"/>
  <c r="BF35" i="32"/>
  <c r="S37" i="32"/>
  <c r="AD38" i="32"/>
  <c r="AD39" i="32"/>
  <c r="BF59" i="32"/>
  <c r="BF58" i="32" s="1"/>
  <c r="BF73" i="32"/>
  <c r="AD75" i="32"/>
  <c r="BF75" i="32"/>
  <c r="AS76" i="32"/>
  <c r="AD77" i="32"/>
  <c r="AD80" i="32"/>
  <c r="AD81" i="32"/>
  <c r="BF81" i="32"/>
  <c r="AC91" i="32"/>
  <c r="AH97" i="32"/>
  <c r="AH96" i="32" s="1"/>
  <c r="BJ97" i="32"/>
  <c r="BJ96" i="32" s="1"/>
  <c r="BH112" i="32"/>
  <c r="BH111" i="32" s="1"/>
  <c r="AH135" i="32"/>
  <c r="AH134" i="32" s="1"/>
  <c r="AI152" i="32"/>
  <c r="N152" i="32" s="1"/>
  <c r="S152" i="32"/>
  <c r="AX159" i="32"/>
  <c r="AN159" i="32"/>
  <c r="AD85" i="32"/>
  <c r="BJ91" i="32"/>
  <c r="BJ60" i="32" s="1"/>
  <c r="BF93" i="32"/>
  <c r="AD106" i="32"/>
  <c r="AS106" i="32"/>
  <c r="AD107" i="32"/>
  <c r="BF109" i="32"/>
  <c r="AH112" i="32"/>
  <c r="AH111" i="32" s="1"/>
  <c r="AD115" i="32"/>
  <c r="AD125" i="32"/>
  <c r="BF130" i="32"/>
  <c r="F111" i="32"/>
  <c r="M111" i="32"/>
  <c r="AE111" i="32"/>
  <c r="BI111" i="32"/>
  <c r="BK111" i="32"/>
  <c r="BM111" i="32"/>
  <c r="BF138" i="32"/>
  <c r="AF149" i="32"/>
  <c r="AF148" i="32" s="1"/>
  <c r="BH149" i="32"/>
  <c r="BH148" i="32" s="1"/>
  <c r="BF151" i="32"/>
  <c r="BJ149" i="32"/>
  <c r="BJ148" i="32" s="1"/>
  <c r="AD157" i="32"/>
  <c r="BF157" i="32"/>
  <c r="AD159" i="32"/>
  <c r="AD160" i="32"/>
  <c r="AS160" i="32"/>
  <c r="BF160" i="32"/>
  <c r="BF162" i="32"/>
  <c r="BF164" i="32"/>
  <c r="AD166" i="32"/>
  <c r="AD167" i="32"/>
  <c r="BF167" i="32"/>
  <c r="AS170" i="32"/>
  <c r="AD173" i="32"/>
  <c r="BF173" i="32"/>
  <c r="AG175" i="32"/>
  <c r="AT175" i="32"/>
  <c r="AY175" i="32"/>
  <c r="BG175" i="32"/>
  <c r="BL175" i="32"/>
  <c r="AE175" i="32"/>
  <c r="AS192" i="32"/>
  <c r="AD193" i="32"/>
  <c r="BF193" i="32"/>
  <c r="BF199" i="32"/>
  <c r="AS200" i="32"/>
  <c r="AS217" i="32"/>
  <c r="BC219" i="32"/>
  <c r="BF220" i="32"/>
  <c r="BF222" i="32"/>
  <c r="AD226" i="32"/>
  <c r="BF234" i="32"/>
  <c r="BF242" i="32"/>
  <c r="G246" i="32"/>
  <c r="G26" i="32" s="1"/>
  <c r="AE246" i="32"/>
  <c r="BI246" i="32"/>
  <c r="BM246" i="32"/>
  <c r="AF247" i="32"/>
  <c r="AH266" i="32"/>
  <c r="BJ266" i="32"/>
  <c r="S288" i="32"/>
  <c r="AN288" i="32"/>
  <c r="AS288" i="32"/>
  <c r="S289" i="32"/>
  <c r="AS289" i="32"/>
  <c r="AS290" i="32"/>
  <c r="AS291" i="32"/>
  <c r="S294" i="32"/>
  <c r="BF315" i="32"/>
  <c r="AF266" i="32"/>
  <c r="BJ28" i="32"/>
  <c r="I29" i="32"/>
  <c r="BC136" i="32"/>
  <c r="BE135" i="32"/>
  <c r="BC152" i="32"/>
  <c r="BE149" i="32"/>
  <c r="AS33" i="32"/>
  <c r="AD34" i="32"/>
  <c r="AN34" i="32"/>
  <c r="AS35" i="32"/>
  <c r="AS36" i="32"/>
  <c r="BF38" i="32"/>
  <c r="AD42" i="32"/>
  <c r="AS42" i="32"/>
  <c r="BF45" i="32"/>
  <c r="BF46" i="32"/>
  <c r="AD50" i="32"/>
  <c r="AS50" i="32"/>
  <c r="AD52" i="32"/>
  <c r="BF52" i="32"/>
  <c r="AS55" i="32"/>
  <c r="BF55" i="32"/>
  <c r="AF58" i="32"/>
  <c r="AD58" i="32" s="1"/>
  <c r="BH58" i="32"/>
  <c r="BH40" i="32" s="1"/>
  <c r="AC61" i="32"/>
  <c r="S64" i="32"/>
  <c r="AS65" i="32"/>
  <c r="S69" i="32"/>
  <c r="AD69" i="32"/>
  <c r="AN69" i="32"/>
  <c r="BF70" i="32"/>
  <c r="AD79" i="32"/>
  <c r="BF79" i="32"/>
  <c r="S80" i="32"/>
  <c r="AS80" i="32"/>
  <c r="AD83" i="32"/>
  <c r="S84" i="32"/>
  <c r="AD84" i="32"/>
  <c r="S86" i="32"/>
  <c r="AD86" i="32"/>
  <c r="AN86" i="32"/>
  <c r="AD87" i="32"/>
  <c r="AS87" i="32"/>
  <c r="AD88" i="32"/>
  <c r="BF88" i="32"/>
  <c r="AR91" i="32"/>
  <c r="BE91" i="32"/>
  <c r="BH91" i="32"/>
  <c r="BH60" i="32" s="1"/>
  <c r="BF92" i="32"/>
  <c r="BC93" i="32"/>
  <c r="AD94" i="32"/>
  <c r="AS94" i="32"/>
  <c r="BF95" i="32"/>
  <c r="BE97" i="32"/>
  <c r="BH97" i="32"/>
  <c r="BH96" i="32" s="1"/>
  <c r="S99" i="32"/>
  <c r="S105" i="32"/>
  <c r="AD105" i="32"/>
  <c r="AD109" i="32"/>
  <c r="BF113" i="32"/>
  <c r="AS115" i="32"/>
  <c r="BF115" i="32"/>
  <c r="AD116" i="32"/>
  <c r="AS120" i="32"/>
  <c r="S122" i="32"/>
  <c r="BF122" i="32"/>
  <c r="S124" i="32"/>
  <c r="AD124" i="32"/>
  <c r="BF137" i="32"/>
  <c r="BH135" i="32"/>
  <c r="BH134" i="32" s="1"/>
  <c r="BF240" i="32"/>
  <c r="AS241" i="32"/>
  <c r="AD242" i="32"/>
  <c r="BF285" i="32"/>
  <c r="BF318" i="32"/>
  <c r="AD127" i="32"/>
  <c r="BF127" i="32"/>
  <c r="BF128" i="32"/>
  <c r="AD130" i="32"/>
  <c r="BF136" i="32"/>
  <c r="AD137" i="32"/>
  <c r="AS137" i="32"/>
  <c r="AS138" i="32"/>
  <c r="AS139" i="32"/>
  <c r="BF139" i="32"/>
  <c r="AS141" i="32"/>
  <c r="BF142" i="32"/>
  <c r="BF144" i="32"/>
  <c r="BF158" i="32"/>
  <c r="BF163" i="32"/>
  <c r="AS164" i="32"/>
  <c r="BF165" i="32"/>
  <c r="BF170" i="32"/>
  <c r="BF171" i="32"/>
  <c r="AZ175" i="32"/>
  <c r="BM175" i="32"/>
  <c r="BF177" i="32"/>
  <c r="AD288" i="32"/>
  <c r="AS292" i="32"/>
  <c r="S293" i="32"/>
  <c r="AS293" i="32"/>
  <c r="BF293" i="32"/>
  <c r="BF298" i="32"/>
  <c r="BF299" i="32"/>
  <c r="AD300" i="32"/>
  <c r="AN318" i="32"/>
  <c r="AS318" i="32"/>
  <c r="BF39" i="32"/>
  <c r="BF42" i="32"/>
  <c r="BF56" i="32"/>
  <c r="S57" i="32"/>
  <c r="AD57" i="32"/>
  <c r="BF57" i="32"/>
  <c r="BF172" i="32"/>
  <c r="S173" i="32"/>
  <c r="AS173" i="32"/>
  <c r="AC176" i="32"/>
  <c r="AW186" i="32"/>
  <c r="AW185" i="32" s="1"/>
  <c r="AH210" i="32"/>
  <c r="AH209" i="32" s="1"/>
  <c r="BF217" i="32"/>
  <c r="S219" i="32"/>
  <c r="BH266" i="32"/>
  <c r="AS89" i="32"/>
  <c r="AD90" i="32"/>
  <c r="AN90" i="32"/>
  <c r="BF90" i="32"/>
  <c r="AD108" i="32"/>
  <c r="BF108" i="32"/>
  <c r="BF114" i="32"/>
  <c r="S130" i="32"/>
  <c r="AS131" i="32"/>
  <c r="AD140" i="32"/>
  <c r="AS163" i="32"/>
  <c r="AD164" i="32"/>
  <c r="AN164" i="32"/>
  <c r="T26" i="32"/>
  <c r="BF200" i="32"/>
  <c r="AD273" i="32"/>
  <c r="BF273" i="32"/>
  <c r="AD274" i="32"/>
  <c r="BF274" i="32"/>
  <c r="AD275" i="32"/>
  <c r="AN275" i="32"/>
  <c r="BF275" i="32"/>
  <c r="AD276" i="32"/>
  <c r="BF276" i="32"/>
  <c r="AD277" i="32"/>
  <c r="AN277" i="32"/>
  <c r="BF277" i="32"/>
  <c r="AD44" i="32"/>
  <c r="AS44" i="32"/>
  <c r="AD45" i="32"/>
  <c r="AS45" i="32"/>
  <c r="AD46" i="32"/>
  <c r="AS46" i="32"/>
  <c r="AD47" i="32"/>
  <c r="BF51" i="32"/>
  <c r="S52" i="32"/>
  <c r="AD53" i="32"/>
  <c r="BF54" i="32"/>
  <c r="AD55" i="32"/>
  <c r="AD56" i="32"/>
  <c r="S59" i="32"/>
  <c r="S62" i="32"/>
  <c r="BF87" i="32"/>
  <c r="S90" i="32"/>
  <c r="S95" i="32"/>
  <c r="AD95" i="32"/>
  <c r="AN95" i="32"/>
  <c r="AS107" i="32"/>
  <c r="BF107" i="32"/>
  <c r="AS109" i="32"/>
  <c r="AD110" i="32"/>
  <c r="AD133" i="32"/>
  <c r="AD132" i="32" s="1"/>
  <c r="BF133" i="32"/>
  <c r="BF132" i="32" s="1"/>
  <c r="BF140" i="32"/>
  <c r="AD141" i="32"/>
  <c r="BF141" i="32"/>
  <c r="S144" i="32"/>
  <c r="AD144" i="32"/>
  <c r="AD145" i="32"/>
  <c r="BF145" i="32"/>
  <c r="BC187" i="32"/>
  <c r="BE186" i="32"/>
  <c r="BC186" i="32" s="1"/>
  <c r="BF189" i="32"/>
  <c r="BH186" i="32"/>
  <c r="AS31" i="32"/>
  <c r="BF31" i="32"/>
  <c r="AD32" i="32"/>
  <c r="BF32" i="32"/>
  <c r="AD33" i="32"/>
  <c r="AN33" i="32"/>
  <c r="BF33" i="32"/>
  <c r="BF36" i="32"/>
  <c r="BF71" i="32"/>
  <c r="S72" i="32"/>
  <c r="AD72" i="32"/>
  <c r="S73" i="32"/>
  <c r="AD73" i="32"/>
  <c r="AN73" i="32"/>
  <c r="AS73" i="32"/>
  <c r="AD74" i="32"/>
  <c r="AS74" i="32"/>
  <c r="BF74" i="32"/>
  <c r="S75" i="32"/>
  <c r="AD76" i="32"/>
  <c r="BF76" i="32"/>
  <c r="AS78" i="32"/>
  <c r="BF78" i="32"/>
  <c r="S79" i="32"/>
  <c r="BF83" i="32"/>
  <c r="BF85" i="32"/>
  <c r="AN98" i="32"/>
  <c r="BF104" i="32"/>
  <c r="BF123" i="32"/>
  <c r="BF124" i="32"/>
  <c r="AD126" i="32"/>
  <c r="BF126" i="32"/>
  <c r="AS127" i="32"/>
  <c r="AS129" i="32"/>
  <c r="AD154" i="32"/>
  <c r="AS154" i="32"/>
  <c r="BF154" i="32"/>
  <c r="AD170" i="32"/>
  <c r="AN170" i="32"/>
  <c r="AS171" i="32"/>
  <c r="AS172" i="32"/>
  <c r="AF176" i="32"/>
  <c r="BJ175" i="32"/>
  <c r="AD182" i="32"/>
  <c r="AU175" i="32"/>
  <c r="BE183" i="32"/>
  <c r="BC183" i="32" s="1"/>
  <c r="AD184" i="32"/>
  <c r="AD183" i="32" s="1"/>
  <c r="BK204" i="32"/>
  <c r="BK186" i="32" s="1"/>
  <c r="BC204" i="32"/>
  <c r="AS284" i="32"/>
  <c r="S285" i="32"/>
  <c r="AS285" i="32"/>
  <c r="AS286" i="32"/>
  <c r="S287" i="32"/>
  <c r="AS287" i="32"/>
  <c r="BF287" i="32"/>
  <c r="BF292" i="32"/>
  <c r="BF296" i="32"/>
  <c r="AD297" i="32"/>
  <c r="BF297" i="32"/>
  <c r="AD298" i="32"/>
  <c r="AN298" i="32"/>
  <c r="AS298" i="32"/>
  <c r="AS301" i="32"/>
  <c r="AD304" i="32"/>
  <c r="BF304" i="32"/>
  <c r="BF306" i="32"/>
  <c r="AD308" i="32"/>
  <c r="BF311" i="32"/>
  <c r="AD313" i="32"/>
  <c r="AN313" i="32"/>
  <c r="AD314" i="32"/>
  <c r="AD316" i="32"/>
  <c r="BF316" i="32"/>
  <c r="AS317" i="32"/>
  <c r="BF317" i="32"/>
  <c r="AH321" i="32"/>
  <c r="AH320" i="32" s="1"/>
  <c r="AS323" i="32"/>
  <c r="N324" i="32"/>
  <c r="BF324" i="32"/>
  <c r="BF321" i="32" s="1"/>
  <c r="BF320" i="32" s="1"/>
  <c r="BF184" i="32"/>
  <c r="BF183" i="32" s="1"/>
  <c r="BF187" i="32"/>
  <c r="AD189" i="32"/>
  <c r="AS189" i="32"/>
  <c r="AS190" i="32"/>
  <c r="BF190" i="32"/>
  <c r="BF191" i="32"/>
  <c r="AD194" i="32"/>
  <c r="AS194" i="32"/>
  <c r="AS199" i="32"/>
  <c r="AD200" i="32"/>
  <c r="AD201" i="32"/>
  <c r="AS201" i="32"/>
  <c r="BF201" i="32"/>
  <c r="BF204" i="32"/>
  <c r="AS205" i="32"/>
  <c r="BF205" i="32"/>
  <c r="AF210" i="32"/>
  <c r="AF209" i="32" s="1"/>
  <c r="AD225" i="32"/>
  <c r="AS225" i="32"/>
  <c r="BF225" i="32"/>
  <c r="S226" i="32"/>
  <c r="BF227" i="32"/>
  <c r="BF228" i="32"/>
  <c r="BF230" i="32"/>
  <c r="AH233" i="32"/>
  <c r="AH232" i="32" s="1"/>
  <c r="BF236" i="32"/>
  <c r="AS237" i="32"/>
  <c r="BF238" i="32"/>
  <c r="AD241" i="32"/>
  <c r="AN241" i="32"/>
  <c r="BF241" i="32"/>
  <c r="S242" i="32"/>
  <c r="AS242" i="32"/>
  <c r="BC242" i="32"/>
  <c r="AD243" i="32"/>
  <c r="BF243" i="32"/>
  <c r="AS244" i="32"/>
  <c r="AD245" i="32"/>
  <c r="BF245" i="32"/>
  <c r="F246" i="32"/>
  <c r="AG246" i="32"/>
  <c r="AK26" i="32"/>
  <c r="AD261" i="32"/>
  <c r="AN31" i="32"/>
  <c r="AS32" i="32"/>
  <c r="S33" i="32"/>
  <c r="BF34" i="32"/>
  <c r="AD35" i="32"/>
  <c r="AN35" i="32"/>
  <c r="AD36" i="32"/>
  <c r="AN37" i="32"/>
  <c r="AS37" i="32"/>
  <c r="BF37" i="32"/>
  <c r="AR38" i="32"/>
  <c r="S39" i="32"/>
  <c r="AR39" i="32"/>
  <c r="AN39" i="32" s="1"/>
  <c r="S43" i="32"/>
  <c r="AN43" i="32"/>
  <c r="BF43" i="32"/>
  <c r="AC44" i="32"/>
  <c r="AR44" i="32"/>
  <c r="BF44" i="32"/>
  <c r="S45" i="32"/>
  <c r="AR45" i="32"/>
  <c r="AR46" i="32"/>
  <c r="S47" i="32"/>
  <c r="AW47" i="32"/>
  <c r="AS47" i="32" s="1"/>
  <c r="BF50" i="32"/>
  <c r="S51" i="32"/>
  <c r="AD51" i="32"/>
  <c r="AS52" i="32"/>
  <c r="S53" i="32"/>
  <c r="S54" i="32"/>
  <c r="AD54" i="32"/>
  <c r="AS54" i="32"/>
  <c r="S55" i="32"/>
  <c r="AN64" i="32"/>
  <c r="AS64" i="32"/>
  <c r="BF64" i="32"/>
  <c r="AN65" i="32"/>
  <c r="S70" i="32"/>
  <c r="AD71" i="32"/>
  <c r="AS71" i="32"/>
  <c r="AW75" i="32"/>
  <c r="AS75" i="32" s="1"/>
  <c r="S76" i="32"/>
  <c r="S77" i="32"/>
  <c r="BC77" i="32"/>
  <c r="BF77" i="32"/>
  <c r="S78" i="32"/>
  <c r="AD78" i="32"/>
  <c r="AN79" i="32"/>
  <c r="AS79" i="32"/>
  <c r="S81" i="32"/>
  <c r="AS81" i="32"/>
  <c r="S82" i="32"/>
  <c r="AD82" i="32"/>
  <c r="AN82" i="32"/>
  <c r="AS82" i="32"/>
  <c r="BF82" i="32"/>
  <c r="S83" i="32"/>
  <c r="AS83" i="32"/>
  <c r="AS85" i="32"/>
  <c r="AX133" i="32"/>
  <c r="AX132" i="32" s="1"/>
  <c r="AN133" i="32"/>
  <c r="AN132" i="32" s="1"/>
  <c r="AR132" i="32"/>
  <c r="AS57" i="32"/>
  <c r="AN59" i="32"/>
  <c r="AN58" i="32" s="1"/>
  <c r="AS59" i="32"/>
  <c r="AS58" i="32" s="1"/>
  <c r="AN62" i="32"/>
  <c r="AS62" i="32"/>
  <c r="S63" i="32"/>
  <c r="AD63" i="32"/>
  <c r="AN63" i="32"/>
  <c r="AC98" i="32"/>
  <c r="AR99" i="32"/>
  <c r="S100" i="32"/>
  <c r="AD100" i="32"/>
  <c r="AS100" i="32"/>
  <c r="AD104" i="32"/>
  <c r="AN104" i="32"/>
  <c r="AS105" i="32"/>
  <c r="BF105" i="32"/>
  <c r="S107" i="32"/>
  <c r="AD113" i="32"/>
  <c r="AC114" i="32"/>
  <c r="AR114" i="32"/>
  <c r="AN114" i="32" s="1"/>
  <c r="S115" i="32"/>
  <c r="AS125" i="32"/>
  <c r="BF125" i="32"/>
  <c r="AD131" i="32"/>
  <c r="AN131" i="32"/>
  <c r="S133" i="32"/>
  <c r="AC142" i="32"/>
  <c r="AI179" i="32"/>
  <c r="N179" i="32" s="1"/>
  <c r="AI181" i="32"/>
  <c r="N181" i="32" s="1"/>
  <c r="AD218" i="32"/>
  <c r="AI221" i="32"/>
  <c r="N221" i="32" s="1"/>
  <c r="AI223" i="32"/>
  <c r="N223" i="32" s="1"/>
  <c r="AI234" i="32"/>
  <c r="N234" i="32" s="1"/>
  <c r="S234" i="32"/>
  <c r="AF235" i="32"/>
  <c r="AD235" i="32" s="1"/>
  <c r="AC235" i="32"/>
  <c r="S235" i="32" s="1"/>
  <c r="AE233" i="32"/>
  <c r="AF239" i="32"/>
  <c r="AD239" i="32" s="1"/>
  <c r="AC239" i="32"/>
  <c r="AR248" i="32"/>
  <c r="AN248" i="32" s="1"/>
  <c r="AV247" i="32"/>
  <c r="S87" i="32"/>
  <c r="AR87" i="32"/>
  <c r="AS88" i="32"/>
  <c r="AS108" i="32"/>
  <c r="AU116" i="32"/>
  <c r="AS116" i="32" s="1"/>
  <c r="AD138" i="32"/>
  <c r="AD139" i="32"/>
  <c r="BF146" i="32"/>
  <c r="AS147" i="32"/>
  <c r="AD150" i="32"/>
  <c r="AN150" i="32"/>
  <c r="BF150" i="32"/>
  <c r="AD151" i="32"/>
  <c r="AN151" i="32"/>
  <c r="AS151" i="32"/>
  <c r="BF152" i="32"/>
  <c r="AS153" i="32"/>
  <c r="BF153" i="32"/>
  <c r="S154" i="32"/>
  <c r="BF155" i="32"/>
  <c r="BF156" i="32"/>
  <c r="AS157" i="32"/>
  <c r="S159" i="32"/>
  <c r="S166" i="32"/>
  <c r="BF166" i="32"/>
  <c r="AS167" i="32"/>
  <c r="AD168" i="32"/>
  <c r="BF168" i="32"/>
  <c r="AS169" i="32"/>
  <c r="BF169" i="32"/>
  <c r="S170" i="32"/>
  <c r="BE176" i="32"/>
  <c r="AD177" i="32"/>
  <c r="AI178" i="32"/>
  <c r="N178" i="32" s="1"/>
  <c r="AI180" i="32"/>
  <c r="N180" i="32" s="1"/>
  <c r="AF183" i="32"/>
  <c r="AF175" i="32" s="1"/>
  <c r="BH183" i="32"/>
  <c r="BE185" i="32"/>
  <c r="BC185" i="32" s="1"/>
  <c r="S187" i="32"/>
  <c r="AD187" i="32"/>
  <c r="S188" i="32"/>
  <c r="AN188" i="32"/>
  <c r="BF188" i="32"/>
  <c r="AR189" i="32"/>
  <c r="AX189" i="32" s="1"/>
  <c r="AD190" i="32"/>
  <c r="S191" i="32"/>
  <c r="AD191" i="32"/>
  <c r="AN191" i="32"/>
  <c r="AS191" i="32"/>
  <c r="S192" i="32"/>
  <c r="AD192" i="32"/>
  <c r="AC193" i="32"/>
  <c r="AC194" i="32"/>
  <c r="AC195" i="32"/>
  <c r="AC196" i="32"/>
  <c r="BC201" i="32"/>
  <c r="AD202" i="32"/>
  <c r="AS202" i="32"/>
  <c r="AR203" i="32"/>
  <c r="AD204" i="32"/>
  <c r="AN204" i="32"/>
  <c r="AD206" i="32"/>
  <c r="AR206" i="32"/>
  <c r="AX206" i="32" s="1"/>
  <c r="AT207" i="32"/>
  <c r="BH207" i="32"/>
  <c r="AR208" i="32"/>
  <c r="AN208" i="32" s="1"/>
  <c r="AN207" i="32" s="1"/>
  <c r="AD213" i="32"/>
  <c r="AD214" i="32"/>
  <c r="BF214" i="32"/>
  <c r="AD215" i="32"/>
  <c r="BF215" i="32"/>
  <c r="AD216" i="32"/>
  <c r="AC218" i="32"/>
  <c r="BF221" i="32"/>
  <c r="AI222" i="32"/>
  <c r="N222" i="32" s="1"/>
  <c r="BF223" i="32"/>
  <c r="AS224" i="32"/>
  <c r="BC224" i="32"/>
  <c r="BF224" i="32"/>
  <c r="S225" i="32"/>
  <c r="AS226" i="32"/>
  <c r="BF226" i="32"/>
  <c r="AS227" i="32"/>
  <c r="BC227" i="32"/>
  <c r="AD228" i="32"/>
  <c r="BC228" i="32"/>
  <c r="AD229" i="32"/>
  <c r="BF229" i="32"/>
  <c r="AS230" i="32"/>
  <c r="BC230" i="32"/>
  <c r="AD231" i="32"/>
  <c r="BF231" i="32"/>
  <c r="AX234" i="32"/>
  <c r="AN234" i="32"/>
  <c r="AU236" i="32"/>
  <c r="AS236" i="32" s="1"/>
  <c r="AR236" i="32"/>
  <c r="AN236" i="32" s="1"/>
  <c r="AT233" i="32"/>
  <c r="AT232" i="32" s="1"/>
  <c r="AF237" i="32"/>
  <c r="AD237" i="32" s="1"/>
  <c r="AC237" i="32"/>
  <c r="S237" i="32" s="1"/>
  <c r="AF238" i="32"/>
  <c r="AD238" i="32" s="1"/>
  <c r="AC238" i="32"/>
  <c r="AU240" i="32"/>
  <c r="AS240" i="32" s="1"/>
  <c r="AR240" i="32"/>
  <c r="AX240" i="32" s="1"/>
  <c r="BF283" i="32"/>
  <c r="BF294" i="32"/>
  <c r="AD295" i="32"/>
  <c r="AN295" i="32"/>
  <c r="AS295" i="32"/>
  <c r="AS296" i="32"/>
  <c r="S297" i="32"/>
  <c r="BF300" i="32"/>
  <c r="AD301" i="32"/>
  <c r="AN301" i="32"/>
  <c r="BF301" i="32"/>
  <c r="S304" i="32"/>
  <c r="AS304" i="32"/>
  <c r="AD305" i="32"/>
  <c r="BF305" i="32"/>
  <c r="AS306" i="32"/>
  <c r="AD307" i="32"/>
  <c r="AN307" i="32"/>
  <c r="AD315" i="32"/>
  <c r="AN315" i="32"/>
  <c r="AS315" i="32"/>
  <c r="AS316" i="32"/>
  <c r="S323" i="32"/>
  <c r="N323" i="32"/>
  <c r="N263" i="32"/>
  <c r="N255" i="32"/>
  <c r="AD234" i="32"/>
  <c r="BJ233" i="32"/>
  <c r="AS239" i="32"/>
  <c r="BF239" i="32"/>
  <c r="BG246" i="32"/>
  <c r="BL246" i="32"/>
  <c r="BJ247" i="32"/>
  <c r="AW247" i="32"/>
  <c r="BF251" i="32"/>
  <c r="BF252" i="32"/>
  <c r="AS253" i="32"/>
  <c r="BF253" i="32"/>
  <c r="AD254" i="32"/>
  <c r="AS255" i="32"/>
  <c r="AS259" i="32"/>
  <c r="AS261" i="32"/>
  <c r="AD265" i="32"/>
  <c r="M246" i="32"/>
  <c r="AD267" i="32"/>
  <c r="BF267" i="32"/>
  <c r="AS269" i="32"/>
  <c r="AC278" i="32"/>
  <c r="BJ272" i="32"/>
  <c r="BJ271" i="32" s="1"/>
  <c r="BF310" i="32"/>
  <c r="AS311" i="32"/>
  <c r="AD312" i="32"/>
  <c r="AN312" i="32"/>
  <c r="AF321" i="32"/>
  <c r="AF320" i="32" s="1"/>
  <c r="N260" i="32"/>
  <c r="AI218" i="32"/>
  <c r="N218" i="32" s="1"/>
  <c r="BK220" i="32"/>
  <c r="BC220" i="32"/>
  <c r="AX226" i="32"/>
  <c r="AN226" i="32"/>
  <c r="AX235" i="32"/>
  <c r="AN235" i="32"/>
  <c r="AI236" i="32"/>
  <c r="N236" i="32" s="1"/>
  <c r="S236" i="32"/>
  <c r="BC237" i="32"/>
  <c r="BE233" i="32"/>
  <c r="AX239" i="32"/>
  <c r="AN239" i="32"/>
  <c r="AI240" i="32"/>
  <c r="N240" i="32" s="1"/>
  <c r="S240" i="32"/>
  <c r="AX30" i="32"/>
  <c r="AX29" i="32" s="1"/>
  <c r="BC30" i="32"/>
  <c r="BC29" i="32" s="1"/>
  <c r="S35" i="32"/>
  <c r="S56" i="32"/>
  <c r="AY40" i="32"/>
  <c r="S65" i="32"/>
  <c r="S71" i="32"/>
  <c r="BK61" i="32"/>
  <c r="BK60" i="32" s="1"/>
  <c r="AN83" i="32"/>
  <c r="S89" i="32"/>
  <c r="AD89" i="32"/>
  <c r="AD92" i="32"/>
  <c r="S94" i="32"/>
  <c r="S113" i="32"/>
  <c r="S120" i="32"/>
  <c r="AD129" i="32"/>
  <c r="AN129" i="32"/>
  <c r="BF129" i="32"/>
  <c r="AD136" i="32"/>
  <c r="S137" i="32"/>
  <c r="AH149" i="32"/>
  <c r="AH148" i="32" s="1"/>
  <c r="AD162" i="32"/>
  <c r="AN163" i="32"/>
  <c r="S164" i="32"/>
  <c r="AS166" i="32"/>
  <c r="AD171" i="32"/>
  <c r="AD172" i="32"/>
  <c r="AN173" i="32"/>
  <c r="S211" i="32"/>
  <c r="AD212" i="32"/>
  <c r="AS216" i="32"/>
  <c r="BF216" i="32"/>
  <c r="AX225" i="32"/>
  <c r="AX210" i="32" s="1"/>
  <c r="AX209" i="32" s="1"/>
  <c r="AN225" i="32"/>
  <c r="BK226" i="32"/>
  <c r="BC226" i="32"/>
  <c r="BK229" i="32"/>
  <c r="BC229" i="32"/>
  <c r="AS235" i="32"/>
  <c r="AW233" i="32"/>
  <c r="AW232" i="32" s="1"/>
  <c r="BF235" i="32"/>
  <c r="BH233" i="32"/>
  <c r="AI241" i="32"/>
  <c r="N241" i="32" s="1"/>
  <c r="S241" i="32"/>
  <c r="AX242" i="32"/>
  <c r="AN242" i="32"/>
  <c r="AZ40" i="32"/>
  <c r="AN77" i="32"/>
  <c r="AS77" i="32"/>
  <c r="S93" i="32"/>
  <c r="AD93" i="32"/>
  <c r="AN93" i="32"/>
  <c r="AS95" i="32"/>
  <c r="AN105" i="32"/>
  <c r="AN107" i="32"/>
  <c r="AN121" i="32"/>
  <c r="AS140" i="32"/>
  <c r="S141" i="32"/>
  <c r="S145" i="32"/>
  <c r="AS145" i="32"/>
  <c r="AD146" i="32"/>
  <c r="AN146" i="32"/>
  <c r="AS146" i="32"/>
  <c r="AD147" i="32"/>
  <c r="BF147" i="32"/>
  <c r="AN152" i="32"/>
  <c r="AD153" i="32"/>
  <c r="AN154" i="32"/>
  <c r="AS159" i="32"/>
  <c r="S160" i="32"/>
  <c r="AD165" i="32"/>
  <c r="AS168" i="32"/>
  <c r="AD169" i="32"/>
  <c r="AD174" i="32"/>
  <c r="BF174" i="32"/>
  <c r="S177" i="32"/>
  <c r="S182" i="32"/>
  <c r="BF182" i="32"/>
  <c r="S189" i="32"/>
  <c r="BF194" i="32"/>
  <c r="AD199" i="32"/>
  <c r="S200" i="32"/>
  <c r="S201" i="32"/>
  <c r="S203" i="32"/>
  <c r="AD205" i="32"/>
  <c r="AN205" i="32"/>
  <c r="S208" i="32"/>
  <c r="S207" i="32" s="1"/>
  <c r="BF218" i="32"/>
  <c r="AD224" i="32"/>
  <c r="AD227" i="32"/>
  <c r="AD230" i="32"/>
  <c r="AD236" i="32"/>
  <c r="BF237" i="32"/>
  <c r="AS238" i="32"/>
  <c r="AD240" i="32"/>
  <c r="AS243" i="32"/>
  <c r="AD244" i="32"/>
  <c r="BF244" i="32"/>
  <c r="AS245" i="32"/>
  <c r="BE247" i="32"/>
  <c r="BH247" i="32"/>
  <c r="AD249" i="32"/>
  <c r="BF249" i="32"/>
  <c r="AD250" i="32"/>
  <c r="BF250" i="32"/>
  <c r="AS252" i="32"/>
  <c r="AD253" i="32"/>
  <c r="BC253" i="32"/>
  <c r="BC247" i="32" s="1"/>
  <c r="AN255" i="32"/>
  <c r="AS260" i="32"/>
  <c r="AD263" i="32"/>
  <c r="AD268" i="32"/>
  <c r="BF268" i="32"/>
  <c r="N269" i="32"/>
  <c r="AD269" i="32"/>
  <c r="BK28" i="32"/>
  <c r="BH272" i="32"/>
  <c r="BH271" i="32" s="1"/>
  <c r="AS274" i="32"/>
  <c r="S275" i="32"/>
  <c r="AS276" i="32"/>
  <c r="S277" i="32"/>
  <c r="S279" i="32"/>
  <c r="AS280" i="32"/>
  <c r="S281" i="32"/>
  <c r="AS282" i="32"/>
  <c r="S283" i="32"/>
  <c r="AD283" i="32"/>
  <c r="AN283" i="32"/>
  <c r="AS283" i="32"/>
  <c r="S284" i="32"/>
  <c r="AD284" i="32"/>
  <c r="AN284" i="32"/>
  <c r="AN285" i="32"/>
  <c r="AD286" i="32"/>
  <c r="BF286" i="32"/>
  <c r="AN287" i="32"/>
  <c r="AN289" i="32"/>
  <c r="AD290" i="32"/>
  <c r="AN290" i="32"/>
  <c r="AD291" i="32"/>
  <c r="AD292" i="32"/>
  <c r="AN293" i="32"/>
  <c r="AN294" i="32"/>
  <c r="AS294" i="32"/>
  <c r="BF295" i="32"/>
  <c r="AD296" i="32"/>
  <c r="AN297" i="32"/>
  <c r="AS297" i="32"/>
  <c r="AD299" i="32"/>
  <c r="AN299" i="32"/>
  <c r="AS299" i="32"/>
  <c r="AS300" i="32"/>
  <c r="S301" i="32"/>
  <c r="AS305" i="32"/>
  <c r="AD306" i="32"/>
  <c r="AW272" i="32"/>
  <c r="AW271" i="32" s="1"/>
  <c r="S307" i="32"/>
  <c r="AS307" i="32"/>
  <c r="S308" i="32"/>
  <c r="AS308" i="32"/>
  <c r="BF308" i="32"/>
  <c r="AS309" i="32"/>
  <c r="BF309" i="32"/>
  <c r="AS310" i="32"/>
  <c r="AD311" i="32"/>
  <c r="S312" i="32"/>
  <c r="AS312" i="32"/>
  <c r="S313" i="32"/>
  <c r="AS313" i="32"/>
  <c r="BF313" i="32"/>
  <c r="AS314" i="32"/>
  <c r="BF314" i="32"/>
  <c r="AN316" i="32"/>
  <c r="S317" i="32"/>
  <c r="AD317" i="32"/>
  <c r="AN317" i="32"/>
  <c r="S318" i="32"/>
  <c r="AN319" i="32"/>
  <c r="AC321" i="32"/>
  <c r="AC320" i="32" s="1"/>
  <c r="BE321" i="32"/>
  <c r="N322" i="32"/>
  <c r="AW321" i="32"/>
  <c r="AW320" i="32" s="1"/>
  <c r="AN323" i="32"/>
  <c r="S324" i="32"/>
  <c r="AS324" i="32"/>
  <c r="BK246" i="32"/>
  <c r="S248" i="32"/>
  <c r="AS250" i="32"/>
  <c r="AI253" i="32"/>
  <c r="N253" i="32" s="1"/>
  <c r="AD256" i="32"/>
  <c r="AD259" i="32"/>
  <c r="AS263" i="32"/>
  <c r="AD264" i="32"/>
  <c r="AS268" i="32"/>
  <c r="BC270" i="32"/>
  <c r="AS257" i="32"/>
  <c r="AD258" i="32"/>
  <c r="AD262" i="32"/>
  <c r="BF269" i="32"/>
  <c r="AS264" i="32"/>
  <c r="AN263" i="32"/>
  <c r="AS262" i="32"/>
  <c r="AS258" i="32"/>
  <c r="AD257" i="32"/>
  <c r="AN257" i="32"/>
  <c r="AS256" i="32"/>
  <c r="AS254" i="32"/>
  <c r="AD251" i="32"/>
  <c r="AX260" i="32"/>
  <c r="AD260" i="32"/>
  <c r="AD255" i="32"/>
  <c r="AN252" i="32"/>
  <c r="S165" i="32"/>
  <c r="AS165" i="32"/>
  <c r="S162" i="32"/>
  <c r="AS162" i="32"/>
  <c r="S161" i="32"/>
  <c r="AN161" i="32"/>
  <c r="AS161" i="32"/>
  <c r="AD158" i="32"/>
  <c r="AN158" i="32"/>
  <c r="AS155" i="32"/>
  <c r="AN155" i="32"/>
  <c r="AG27" i="32"/>
  <c r="AS156" i="32"/>
  <c r="S156" i="32"/>
  <c r="AD156" i="32"/>
  <c r="AN156" i="32"/>
  <c r="AD31" i="32"/>
  <c r="AF30" i="32"/>
  <c r="N42" i="32"/>
  <c r="N62" i="32"/>
  <c r="AD65" i="32"/>
  <c r="AF61" i="32"/>
  <c r="AF60" i="32" s="1"/>
  <c r="AD70" i="32"/>
  <c r="AH61" i="32"/>
  <c r="AW91" i="32"/>
  <c r="AS93" i="32"/>
  <c r="AD114" i="32"/>
  <c r="AF112" i="32"/>
  <c r="AF111" i="32" s="1"/>
  <c r="AS114" i="32"/>
  <c r="AU112" i="32"/>
  <c r="AU111" i="32" s="1"/>
  <c r="AU135" i="32"/>
  <c r="AU134" i="32" s="1"/>
  <c r="AS142" i="32"/>
  <c r="AS182" i="32"/>
  <c r="AS176" i="32" s="1"/>
  <c r="AS175" i="32" s="1"/>
  <c r="AW176" i="32"/>
  <c r="AW175" i="32" s="1"/>
  <c r="N184" i="32"/>
  <c r="N183" i="32" s="1"/>
  <c r="AI183" i="32"/>
  <c r="S31" i="32"/>
  <c r="S32" i="32"/>
  <c r="AN32" i="32"/>
  <c r="S34" i="32"/>
  <c r="S36" i="32"/>
  <c r="AN36" i="32"/>
  <c r="AS110" i="32"/>
  <c r="AS124" i="32"/>
  <c r="AS128" i="32"/>
  <c r="AD155" i="32"/>
  <c r="AD161" i="32"/>
  <c r="AF41" i="32"/>
  <c r="AD43" i="32"/>
  <c r="AS43" i="32"/>
  <c r="AU41" i="32"/>
  <c r="AU40" i="32" s="1"/>
  <c r="AS48" i="32"/>
  <c r="N59" i="32"/>
  <c r="N58" i="32" s="1"/>
  <c r="AS69" i="32"/>
  <c r="AS70" i="32"/>
  <c r="AU61" i="32"/>
  <c r="AU60" i="32" s="1"/>
  <c r="N78" i="32"/>
  <c r="N81" i="32"/>
  <c r="M85" i="32"/>
  <c r="AD98" i="32"/>
  <c r="AF97" i="32"/>
  <c r="AF96" i="32" s="1"/>
  <c r="AS99" i="32"/>
  <c r="AU97" i="32"/>
  <c r="AU96" i="32" s="1"/>
  <c r="AS104" i="32"/>
  <c r="AW97" i="32"/>
  <c r="AW96" i="32" s="1"/>
  <c r="N113" i="32"/>
  <c r="AS122" i="32"/>
  <c r="AD142" i="32"/>
  <c r="AF135" i="32"/>
  <c r="AF134" i="32" s="1"/>
  <c r="AW135" i="32"/>
  <c r="AW134" i="32" s="1"/>
  <c r="AS144" i="32"/>
  <c r="AS152" i="32"/>
  <c r="AW149" i="32"/>
  <c r="AW148" i="32" s="1"/>
  <c r="AS158" i="32"/>
  <c r="AU149" i="32"/>
  <c r="AU148" i="32" s="1"/>
  <c r="N182" i="32"/>
  <c r="N187" i="32"/>
  <c r="AD208" i="32"/>
  <c r="AD207" i="32" s="1"/>
  <c r="AF207" i="32"/>
  <c r="AS208" i="32"/>
  <c r="AS207" i="32" s="1"/>
  <c r="AU207" i="32"/>
  <c r="AI38" i="32"/>
  <c r="N38" i="32" s="1"/>
  <c r="AU39" i="32"/>
  <c r="AS39" i="32" s="1"/>
  <c r="S42" i="32"/>
  <c r="S46" i="32"/>
  <c r="AX48" i="32"/>
  <c r="AW49" i="32"/>
  <c r="AS49" i="32" s="1"/>
  <c r="S50" i="32"/>
  <c r="AX50" i="32"/>
  <c r="AW51" i="32"/>
  <c r="AS51" i="32" s="1"/>
  <c r="AX52" i="32"/>
  <c r="AW53" i="32"/>
  <c r="AS53" i="32" s="1"/>
  <c r="AW56" i="32"/>
  <c r="AS56" i="32" s="1"/>
  <c r="AX57" i="32"/>
  <c r="AN80" i="32"/>
  <c r="AX81" i="32"/>
  <c r="AX84" i="32"/>
  <c r="S85" i="32"/>
  <c r="S88" i="32"/>
  <c r="AN88" i="32"/>
  <c r="AI92" i="32"/>
  <c r="S104" i="32"/>
  <c r="AI106" i="32"/>
  <c r="N106" i="32" s="1"/>
  <c r="AI108" i="32"/>
  <c r="N108" i="32" s="1"/>
  <c r="AX109" i="32"/>
  <c r="AI110" i="32"/>
  <c r="N110" i="32" s="1"/>
  <c r="S116" i="32"/>
  <c r="AR122" i="32"/>
  <c r="S123" i="32"/>
  <c r="AN123" i="32"/>
  <c r="S125" i="32"/>
  <c r="AX125" i="32"/>
  <c r="AI126" i="32"/>
  <c r="N126" i="32" s="1"/>
  <c r="AW126" i="32"/>
  <c r="AS126" i="32" s="1"/>
  <c r="S127" i="32"/>
  <c r="AN127" i="32"/>
  <c r="S128" i="32"/>
  <c r="AN128" i="32"/>
  <c r="AI129" i="32"/>
  <c r="N129" i="32" s="1"/>
  <c r="AN130" i="32"/>
  <c r="S131" i="32"/>
  <c r="S136" i="32"/>
  <c r="AI138" i="32"/>
  <c r="N138" i="32" s="1"/>
  <c r="AI139" i="32"/>
  <c r="N139" i="32" s="1"/>
  <c r="AN143" i="32"/>
  <c r="AX145" i="32"/>
  <c r="AI146" i="32"/>
  <c r="N146" i="32" s="1"/>
  <c r="AI147" i="32"/>
  <c r="N147" i="32" s="1"/>
  <c r="AX147" i="32"/>
  <c r="AI150" i="32"/>
  <c r="AI151" i="32"/>
  <c r="N151" i="32" s="1"/>
  <c r="S153" i="32"/>
  <c r="AN153" i="32"/>
  <c r="S155" i="32"/>
  <c r="S157" i="32"/>
  <c r="AN157" i="32"/>
  <c r="AN162" i="32"/>
  <c r="AN165" i="32"/>
  <c r="AR166" i="32"/>
  <c r="S167" i="32"/>
  <c r="AN167" i="32"/>
  <c r="S168" i="32"/>
  <c r="AN168" i="32"/>
  <c r="S169" i="32"/>
  <c r="AC171" i="32"/>
  <c r="AN171" i="32"/>
  <c r="AC172" i="32"/>
  <c r="AN172" i="32"/>
  <c r="AC174" i="32"/>
  <c r="AN174" i="32"/>
  <c r="AR182" i="32"/>
  <c r="AC183" i="32"/>
  <c r="S184" i="32"/>
  <c r="AW210" i="32"/>
  <c r="AW209" i="32" s="1"/>
  <c r="AS229" i="32"/>
  <c r="AS231" i="32"/>
  <c r="AD188" i="32"/>
  <c r="AF186" i="32"/>
  <c r="AU186" i="32"/>
  <c r="AS188" i="32"/>
  <c r="AI207" i="32"/>
  <c r="AS251" i="32"/>
  <c r="AU247" i="32"/>
  <c r="AU246" i="32" s="1"/>
  <c r="AD252" i="32"/>
  <c r="AH247" i="32"/>
  <c r="AU38" i="32"/>
  <c r="N102" i="32"/>
  <c r="AN108" i="32"/>
  <c r="AN110" i="32"/>
  <c r="S158" i="32"/>
  <c r="AI190" i="32"/>
  <c r="N190" i="32" s="1"/>
  <c r="AX190" i="32"/>
  <c r="AI199" i="32"/>
  <c r="N199" i="32" s="1"/>
  <c r="AX199" i="32"/>
  <c r="S202" i="32"/>
  <c r="AI204" i="32"/>
  <c r="N204" i="32" s="1"/>
  <c r="S205" i="32"/>
  <c r="S206" i="32"/>
  <c r="AI212" i="32"/>
  <c r="N212" i="32" s="1"/>
  <c r="AI213" i="32"/>
  <c r="N213" i="32" s="1"/>
  <c r="AI214" i="32"/>
  <c r="N214" i="32" s="1"/>
  <c r="AI215" i="32"/>
  <c r="N215" i="32" s="1"/>
  <c r="AI216" i="32"/>
  <c r="N216" i="32" s="1"/>
  <c r="AN218" i="32"/>
  <c r="BC218" i="32"/>
  <c r="AI220" i="32"/>
  <c r="N220" i="32" s="1"/>
  <c r="AI224" i="32"/>
  <c r="N224" i="32" s="1"/>
  <c r="BC225" i="32"/>
  <c r="AI227" i="32"/>
  <c r="N227" i="32" s="1"/>
  <c r="AI228" i="32"/>
  <c r="N228" i="32" s="1"/>
  <c r="AI229" i="32"/>
  <c r="N229" i="32" s="1"/>
  <c r="AI230" i="32"/>
  <c r="N230" i="32" s="1"/>
  <c r="AI231" i="32"/>
  <c r="N231" i="32" s="1"/>
  <c r="AN237" i="32"/>
  <c r="AN238" i="32"/>
  <c r="AI243" i="32"/>
  <c r="N243" i="32" s="1"/>
  <c r="AX243" i="32"/>
  <c r="AI244" i="32"/>
  <c r="N244" i="32" s="1"/>
  <c r="AX244" i="32"/>
  <c r="AI245" i="32"/>
  <c r="N245" i="32" s="1"/>
  <c r="AI249" i="32"/>
  <c r="N249" i="32" s="1"/>
  <c r="AI250" i="32"/>
  <c r="N250" i="32" s="1"/>
  <c r="AX250" i="32"/>
  <c r="AI251" i="32"/>
  <c r="N251" i="32" s="1"/>
  <c r="AI266" i="32"/>
  <c r="AN270" i="32"/>
  <c r="AX270" i="32"/>
  <c r="AX266" i="32" s="1"/>
  <c r="AF272" i="32"/>
  <c r="AF271" i="32" s="1"/>
  <c r="AD271" i="32" s="1"/>
  <c r="AD278" i="32"/>
  <c r="N198" i="32"/>
  <c r="AN224" i="32"/>
  <c r="AN227" i="32"/>
  <c r="AN228" i="32"/>
  <c r="AN229" i="32"/>
  <c r="AN240" i="32"/>
  <c r="AN245" i="32"/>
  <c r="AN249" i="32"/>
  <c r="AN251" i="32"/>
  <c r="AC252" i="32"/>
  <c r="AN253" i="32"/>
  <c r="AC254" i="32"/>
  <c r="AN254" i="32"/>
  <c r="AC256" i="32"/>
  <c r="AN256" i="32"/>
  <c r="AC258" i="32"/>
  <c r="AN258" i="32"/>
  <c r="AN259" i="32"/>
  <c r="AR261" i="32"/>
  <c r="AC262" i="32"/>
  <c r="AN262" i="32"/>
  <c r="AC264" i="32"/>
  <c r="AN264" i="32"/>
  <c r="AN265" i="32"/>
  <c r="AC266" i="32"/>
  <c r="S266" i="32" s="1"/>
  <c r="AR266" i="32"/>
  <c r="BE266" i="32"/>
  <c r="S267" i="32"/>
  <c r="S268" i="32"/>
  <c r="AN268" i="32"/>
  <c r="S270" i="32"/>
  <c r="AR272" i="32"/>
  <c r="BE272" i="32"/>
  <c r="S273" i="32"/>
  <c r="AN273" i="32"/>
  <c r="S274" i="32"/>
  <c r="AN274" i="32"/>
  <c r="S276" i="32"/>
  <c r="AN276" i="32"/>
  <c r="S280" i="32"/>
  <c r="AN280" i="32"/>
  <c r="S282" i="32"/>
  <c r="AN282" i="32"/>
  <c r="S286" i="32"/>
  <c r="AN286" i="32"/>
  <c r="S290" i="32"/>
  <c r="AI291" i="32"/>
  <c r="N291" i="32" s="1"/>
  <c r="AX291" i="32"/>
  <c r="S292" i="32"/>
  <c r="AN292" i="32"/>
  <c r="AI295" i="32"/>
  <c r="N295" i="32" s="1"/>
  <c r="S296" i="32"/>
  <c r="AN296" i="32"/>
  <c r="S298" i="32"/>
  <c r="AI299" i="32"/>
  <c r="N299" i="32" s="1"/>
  <c r="S300" i="32"/>
  <c r="AN300" i="32"/>
  <c r="N302" i="32"/>
  <c r="AX304" i="32"/>
  <c r="AI305" i="32"/>
  <c r="N305" i="32" s="1"/>
  <c r="AX305" i="32"/>
  <c r="AI306" i="32"/>
  <c r="N306" i="32" s="1"/>
  <c r="S309" i="32"/>
  <c r="AI310" i="32"/>
  <c r="N310" i="32" s="1"/>
  <c r="AX310" i="32"/>
  <c r="AI311" i="32"/>
  <c r="N311" i="32" s="1"/>
  <c r="S314" i="32"/>
  <c r="AN314" i="32"/>
  <c r="S315" i="32"/>
  <c r="S316" i="32"/>
  <c r="S322" i="32"/>
  <c r="AN324" i="32"/>
  <c r="AN306" i="32"/>
  <c r="AN308" i="32"/>
  <c r="AN311" i="32"/>
  <c r="AN206" i="32" l="1"/>
  <c r="AN184" i="32"/>
  <c r="AN183" i="32" s="1"/>
  <c r="AN142" i="32"/>
  <c r="AN135" i="32" s="1"/>
  <c r="AN134" i="32" s="1"/>
  <c r="N94" i="32"/>
  <c r="N133" i="32"/>
  <c r="N132" i="32" s="1"/>
  <c r="BL26" i="32"/>
  <c r="AV60" i="32"/>
  <c r="AW28" i="32"/>
  <c r="AN100" i="32"/>
  <c r="BE210" i="32"/>
  <c r="AN231" i="32"/>
  <c r="AN210" i="32" s="1"/>
  <c r="AN209" i="32" s="1"/>
  <c r="AN124" i="32"/>
  <c r="AR183" i="32"/>
  <c r="N82" i="32"/>
  <c r="N61" i="32" s="1"/>
  <c r="BC231" i="32"/>
  <c r="AW246" i="32"/>
  <c r="AN230" i="32"/>
  <c r="AX248" i="32"/>
  <c r="AN169" i="32"/>
  <c r="M95" i="32"/>
  <c r="AW61" i="32"/>
  <c r="M80" i="32"/>
  <c r="AN144" i="32"/>
  <c r="AR41" i="32"/>
  <c r="AR40" i="32" s="1"/>
  <c r="AX322" i="32"/>
  <c r="AX321" i="32" s="1"/>
  <c r="AX320" i="32" s="1"/>
  <c r="AR321" i="32"/>
  <c r="AR320" i="32" s="1"/>
  <c r="AU185" i="32"/>
  <c r="AP31" i="32"/>
  <c r="AP30" i="32" s="1"/>
  <c r="AP29" i="32" s="1"/>
  <c r="AC30" i="32"/>
  <c r="AC29" i="32" s="1"/>
  <c r="AI31" i="32"/>
  <c r="N31" i="32" s="1"/>
  <c r="N30" i="32" s="1"/>
  <c r="AR247" i="32"/>
  <c r="AR246" i="32" s="1"/>
  <c r="S194" i="32"/>
  <c r="AU28" i="32"/>
  <c r="AD134" i="32"/>
  <c r="AI61" i="32"/>
  <c r="AZ26" i="32"/>
  <c r="F26" i="32"/>
  <c r="AP171" i="32"/>
  <c r="AP238" i="32"/>
  <c r="AP264" i="32"/>
  <c r="AP262" i="32"/>
  <c r="AP258" i="32"/>
  <c r="AP256" i="32"/>
  <c r="AP247" i="32" s="1"/>
  <c r="AP254" i="32"/>
  <c r="AP252" i="32"/>
  <c r="AP193" i="32"/>
  <c r="AC272" i="32"/>
  <c r="AC271" i="32" s="1"/>
  <c r="AP237" i="32"/>
  <c r="AP235" i="32"/>
  <c r="S218" i="32"/>
  <c r="AP174" i="32"/>
  <c r="AP172" i="32"/>
  <c r="AP98" i="32"/>
  <c r="AP97" i="32" s="1"/>
  <c r="AP96" i="32" s="1"/>
  <c r="S91" i="32"/>
  <c r="AC28" i="32"/>
  <c r="AP44" i="32"/>
  <c r="BC41" i="32"/>
  <c r="BE40" i="32"/>
  <c r="BC40" i="32" s="1"/>
  <c r="AG26" i="32"/>
  <c r="BM26" i="32"/>
  <c r="AI235" i="32"/>
  <c r="N235" i="32" s="1"/>
  <c r="AD91" i="32"/>
  <c r="BF135" i="32"/>
  <c r="BF134" i="32" s="1"/>
  <c r="S98" i="32"/>
  <c r="BF97" i="32"/>
  <c r="BF96" i="32" s="1"/>
  <c r="AC60" i="32"/>
  <c r="I27" i="32"/>
  <c r="AH28" i="32"/>
  <c r="AN266" i="32"/>
  <c r="AN321" i="32"/>
  <c r="AN320" i="32" s="1"/>
  <c r="AN272" i="32"/>
  <c r="AN271" i="32" s="1"/>
  <c r="AT27" i="32"/>
  <c r="AS266" i="32"/>
  <c r="N321" i="32"/>
  <c r="N320" i="32" s="1"/>
  <c r="AI237" i="32"/>
  <c r="N237" i="32" s="1"/>
  <c r="AI278" i="32"/>
  <c r="N278" i="32" s="1"/>
  <c r="N272" i="32" s="1"/>
  <c r="N271" i="32" s="1"/>
  <c r="AP278" i="32"/>
  <c r="AP272" i="32" s="1"/>
  <c r="AP271" i="32" s="1"/>
  <c r="AN233" i="32"/>
  <c r="AN232" i="32" s="1"/>
  <c r="AI195" i="32"/>
  <c r="N195" i="32" s="1"/>
  <c r="AP195" i="32"/>
  <c r="AI239" i="32"/>
  <c r="N239" i="32" s="1"/>
  <c r="AP239" i="32"/>
  <c r="S142" i="32"/>
  <c r="AP142" i="32"/>
  <c r="AP135" i="32" s="1"/>
  <c r="AP134" i="32" s="1"/>
  <c r="S114" i="32"/>
  <c r="AP114" i="32"/>
  <c r="AP112" i="32" s="1"/>
  <c r="AP111" i="32" s="1"/>
  <c r="AP176" i="32"/>
  <c r="AP175" i="32" s="1"/>
  <c r="AP149" i="32"/>
  <c r="AP148" i="32" s="1"/>
  <c r="AP61" i="32"/>
  <c r="AP41" i="32"/>
  <c r="AC210" i="32"/>
  <c r="AC209" i="32" s="1"/>
  <c r="AP218" i="32"/>
  <c r="AP210" i="32" s="1"/>
  <c r="AP209" i="32" s="1"/>
  <c r="AI196" i="32"/>
  <c r="N196" i="32" s="1"/>
  <c r="AP196" i="32"/>
  <c r="AI194" i="32"/>
  <c r="N194" i="32" s="1"/>
  <c r="N186" i="32" s="1"/>
  <c r="N185" i="32" s="1"/>
  <c r="AP194" i="32"/>
  <c r="BF112" i="32"/>
  <c r="BF111" i="32" s="1"/>
  <c r="AN91" i="32"/>
  <c r="AP266" i="32"/>
  <c r="AP91" i="32"/>
  <c r="AD186" i="32"/>
  <c r="AD185" i="32" s="1"/>
  <c r="AF185" i="32"/>
  <c r="S278" i="32"/>
  <c r="S272" i="32" s="1"/>
  <c r="S271" i="32" s="1"/>
  <c r="AD272" i="32"/>
  <c r="AD247" i="32"/>
  <c r="AD246" i="32" s="1"/>
  <c r="AU233" i="32"/>
  <c r="AU232" i="32" s="1"/>
  <c r="S97" i="32"/>
  <c r="S96" i="32" s="1"/>
  <c r="BJ246" i="32"/>
  <c r="BG26" i="32"/>
  <c r="S210" i="32"/>
  <c r="S209" i="32" s="1"/>
  <c r="AS321" i="32"/>
  <c r="AS320" i="32" s="1"/>
  <c r="AD176" i="32"/>
  <c r="AD175" i="32" s="1"/>
  <c r="BF30" i="32"/>
  <c r="BF29" i="32" s="1"/>
  <c r="AS135" i="32"/>
  <c r="AS134" i="32" s="1"/>
  <c r="AD266" i="32"/>
  <c r="BF41" i="32"/>
  <c r="BF40" i="32" s="1"/>
  <c r="AF246" i="32"/>
  <c r="BI26" i="32"/>
  <c r="BF91" i="32"/>
  <c r="AH246" i="32"/>
  <c r="AS186" i="32"/>
  <c r="AS185" i="32" s="1"/>
  <c r="AI176" i="32"/>
  <c r="AI175" i="32" s="1"/>
  <c r="AD135" i="32"/>
  <c r="AS91" i="32"/>
  <c r="AD30" i="32"/>
  <c r="BH246" i="32"/>
  <c r="BF186" i="32"/>
  <c r="BF185" i="32" s="1"/>
  <c r="BF176" i="32"/>
  <c r="BF175" i="32" s="1"/>
  <c r="AX236" i="32"/>
  <c r="AY26" i="32"/>
  <c r="BH185" i="32"/>
  <c r="BC112" i="32"/>
  <c r="BE111" i="32"/>
  <c r="BC111" i="32" s="1"/>
  <c r="BF247" i="32"/>
  <c r="BC149" i="32"/>
  <c r="BE148" i="32"/>
  <c r="BC148" i="32" s="1"/>
  <c r="BC135" i="32"/>
  <c r="BE134" i="32"/>
  <c r="BC134" i="32" s="1"/>
  <c r="AW60" i="32"/>
  <c r="BF266" i="32"/>
  <c r="BC97" i="32"/>
  <c r="BC96" i="32" s="1"/>
  <c r="BE96" i="32"/>
  <c r="BC91" i="32"/>
  <c r="BE60" i="32"/>
  <c r="BC60" i="32" s="1"/>
  <c r="BK210" i="32"/>
  <c r="BK209" i="32" s="1"/>
  <c r="BF272" i="32"/>
  <c r="BF271" i="32" s="1"/>
  <c r="BF149" i="32"/>
  <c r="BF148" i="32" s="1"/>
  <c r="AC233" i="32"/>
  <c r="AC232" i="32" s="1"/>
  <c r="AF233" i="32"/>
  <c r="AF232" i="32" s="1"/>
  <c r="AD232" i="32" s="1"/>
  <c r="AD61" i="32"/>
  <c r="BK185" i="32"/>
  <c r="S135" i="32"/>
  <c r="S134" i="32" s="1"/>
  <c r="AD233" i="32"/>
  <c r="S321" i="32"/>
  <c r="S320" i="32" s="1"/>
  <c r="AN189" i="32"/>
  <c r="N266" i="32"/>
  <c r="AF28" i="32"/>
  <c r="AD97" i="32"/>
  <c r="AD96" i="32" s="1"/>
  <c r="AD112" i="32"/>
  <c r="AD111" i="32" s="1"/>
  <c r="S239" i="32"/>
  <c r="AS233" i="32"/>
  <c r="AS232" i="32" s="1"/>
  <c r="BF61" i="32"/>
  <c r="BF60" i="32" s="1"/>
  <c r="AI264" i="32"/>
  <c r="N264" i="32" s="1"/>
  <c r="AI262" i="32"/>
  <c r="N262" i="32" s="1"/>
  <c r="AI258" i="32"/>
  <c r="N258" i="32" s="1"/>
  <c r="AI256" i="32"/>
  <c r="N256" i="32" s="1"/>
  <c r="AI254" i="32"/>
  <c r="N254" i="32" s="1"/>
  <c r="AI238" i="32"/>
  <c r="N238" i="32" s="1"/>
  <c r="N233" i="32" s="1"/>
  <c r="N232" i="32" s="1"/>
  <c r="S238" i="32"/>
  <c r="AX208" i="32"/>
  <c r="AX207" i="32" s="1"/>
  <c r="AX28" i="32" s="1"/>
  <c r="AR207" i="32"/>
  <c r="AR28" i="32" s="1"/>
  <c r="AT185" i="32"/>
  <c r="AT26" i="32" s="1"/>
  <c r="AT28" i="32"/>
  <c r="AI193" i="32"/>
  <c r="N193" i="32" s="1"/>
  <c r="S193" i="32"/>
  <c r="S186" i="32" s="1"/>
  <c r="S185" i="32" s="1"/>
  <c r="AR186" i="32"/>
  <c r="BC176" i="32"/>
  <c r="BE175" i="32"/>
  <c r="BC175" i="32" s="1"/>
  <c r="AX87" i="32"/>
  <c r="AX61" i="32" s="1"/>
  <c r="AX60" i="32" s="1"/>
  <c r="AN87" i="32"/>
  <c r="AN61" i="32" s="1"/>
  <c r="AR61" i="32"/>
  <c r="AV246" i="32"/>
  <c r="AV27" i="32"/>
  <c r="AE232" i="32"/>
  <c r="AE26" i="32" s="1"/>
  <c r="AE27" i="32"/>
  <c r="AX99" i="32"/>
  <c r="AX97" i="32" s="1"/>
  <c r="AX96" i="32" s="1"/>
  <c r="AN99" i="32"/>
  <c r="AN97" i="32" s="1"/>
  <c r="AN96" i="32" s="1"/>
  <c r="AR97" i="32"/>
  <c r="AX45" i="32"/>
  <c r="AN45" i="32"/>
  <c r="AI44" i="32"/>
  <c r="AC41" i="32"/>
  <c r="S44" i="32"/>
  <c r="S41" i="32" s="1"/>
  <c r="AN38" i="32"/>
  <c r="AN30" i="32" s="1"/>
  <c r="AR30" i="32"/>
  <c r="AR29" i="32" s="1"/>
  <c r="AI34" i="32"/>
  <c r="N34" i="32" s="1"/>
  <c r="N176" i="32"/>
  <c r="N175" i="32" s="1"/>
  <c r="BJ232" i="32"/>
  <c r="BJ26" i="32" s="1"/>
  <c r="BJ27" i="32"/>
  <c r="AR233" i="32"/>
  <c r="AX203" i="32"/>
  <c r="AX186" i="32" s="1"/>
  <c r="AN203" i="32"/>
  <c r="AC186" i="32"/>
  <c r="AC185" i="32" s="1"/>
  <c r="BH175" i="32"/>
  <c r="BH28" i="32"/>
  <c r="AI142" i="32"/>
  <c r="N142" i="32" s="1"/>
  <c r="AC135" i="32"/>
  <c r="AC134" i="32" s="1"/>
  <c r="AI114" i="32"/>
  <c r="N114" i="32" s="1"/>
  <c r="AC112" i="32"/>
  <c r="AC111" i="32" s="1"/>
  <c r="AI98" i="32"/>
  <c r="N98" i="32" s="1"/>
  <c r="AC97" i="32"/>
  <c r="AC96" i="32" s="1"/>
  <c r="AX46" i="32"/>
  <c r="AN46" i="32"/>
  <c r="AX44" i="32"/>
  <c r="AN44" i="32"/>
  <c r="BC321" i="32"/>
  <c r="BE320" i="32"/>
  <c r="BC320" i="32" s="1"/>
  <c r="BH232" i="32"/>
  <c r="BH27" i="32"/>
  <c r="BE232" i="32"/>
  <c r="BC232" i="32" s="1"/>
  <c r="BC233" i="32"/>
  <c r="AX272" i="32"/>
  <c r="AX271" i="32" s="1"/>
  <c r="BF210" i="32"/>
  <c r="BF209" i="32" s="1"/>
  <c r="AD210" i="32"/>
  <c r="AD209" i="32" s="1"/>
  <c r="AX233" i="32"/>
  <c r="AX232" i="32" s="1"/>
  <c r="AS210" i="32"/>
  <c r="AS209" i="32" s="1"/>
  <c r="AX135" i="32"/>
  <c r="AX134" i="32" s="1"/>
  <c r="AS41" i="32"/>
  <c r="AS40" i="32" s="1"/>
  <c r="M91" i="32"/>
  <c r="M28" i="32" s="1"/>
  <c r="AS61" i="32"/>
  <c r="AS272" i="32"/>
  <c r="AS271" i="32" s="1"/>
  <c r="S176" i="32"/>
  <c r="BF233" i="32"/>
  <c r="BF232" i="32" s="1"/>
  <c r="AS247" i="32"/>
  <c r="AS149" i="32"/>
  <c r="AS148" i="32" s="1"/>
  <c r="AD149" i="32"/>
  <c r="AD148" i="32" s="1"/>
  <c r="AR271" i="32"/>
  <c r="S183" i="32"/>
  <c r="AC175" i="32"/>
  <c r="AX166" i="32"/>
  <c r="AX149" i="32" s="1"/>
  <c r="AX148" i="32" s="1"/>
  <c r="AN166" i="32"/>
  <c r="AR149" i="32"/>
  <c r="AX122" i="32"/>
  <c r="AX112" i="32" s="1"/>
  <c r="AX111" i="32" s="1"/>
  <c r="AN122" i="32"/>
  <c r="AN112" i="32" s="1"/>
  <c r="AN111" i="32" s="1"/>
  <c r="AR112" i="32"/>
  <c r="AH60" i="32"/>
  <c r="AH27" i="32"/>
  <c r="AF29" i="32"/>
  <c r="S61" i="32"/>
  <c r="N210" i="32"/>
  <c r="N209" i="32" s="1"/>
  <c r="AW112" i="32"/>
  <c r="AW111" i="32" s="1"/>
  <c r="N112" i="32"/>
  <c r="N111" i="32" s="1"/>
  <c r="N97" i="32"/>
  <c r="N96" i="32" s="1"/>
  <c r="BC272" i="32"/>
  <c r="BE271" i="32"/>
  <c r="BC271" i="32" s="1"/>
  <c r="BC266" i="32"/>
  <c r="BC28" i="32" s="1"/>
  <c r="BE246" i="32"/>
  <c r="BE28" i="32"/>
  <c r="AX261" i="32"/>
  <c r="AN261" i="32"/>
  <c r="AN247" i="32" s="1"/>
  <c r="AI252" i="32"/>
  <c r="AC247" i="32"/>
  <c r="AC246" i="32" s="1"/>
  <c r="S252" i="32"/>
  <c r="S247" i="32" s="1"/>
  <c r="S246" i="32" s="1"/>
  <c r="AS38" i="32"/>
  <c r="AS30" i="32" s="1"/>
  <c r="AU30" i="32"/>
  <c r="AX182" i="32"/>
  <c r="AX176" i="32" s="1"/>
  <c r="AX175" i="32" s="1"/>
  <c r="AN182" i="32"/>
  <c r="AN176" i="32" s="1"/>
  <c r="AR176" i="32"/>
  <c r="AI174" i="32"/>
  <c r="N174" i="32" s="1"/>
  <c r="S174" i="32"/>
  <c r="AI172" i="32"/>
  <c r="N172" i="32" s="1"/>
  <c r="S172" i="32"/>
  <c r="AI171" i="32"/>
  <c r="N171" i="32" s="1"/>
  <c r="S171" i="32"/>
  <c r="AC149" i="32"/>
  <c r="N150" i="32"/>
  <c r="N92" i="32"/>
  <c r="N91" i="32" s="1"/>
  <c r="AI91" i="32"/>
  <c r="AI28" i="32" s="1"/>
  <c r="AD41" i="32"/>
  <c r="AF40" i="32"/>
  <c r="AD40" i="32" s="1"/>
  <c r="S112" i="32"/>
  <c r="S111" i="32" s="1"/>
  <c r="AI210" i="32"/>
  <c r="AI209" i="32" s="1"/>
  <c r="N135" i="32"/>
  <c r="N134" i="32" s="1"/>
  <c r="AS97" i="32"/>
  <c r="AS96" i="32" s="1"/>
  <c r="M61" i="32"/>
  <c r="AW41" i="32"/>
  <c r="S30" i="32"/>
  <c r="AS112" i="32"/>
  <c r="AS111" i="32" s="1"/>
  <c r="AI97" i="32"/>
  <c r="AI96" i="32" s="1"/>
  <c r="AI30" i="32"/>
  <c r="AI186" i="32" l="1"/>
  <c r="AI185" i="32" s="1"/>
  <c r="AN28" i="32"/>
  <c r="BC210" i="32"/>
  <c r="BC209" i="32" s="1"/>
  <c r="BE209" i="32"/>
  <c r="BE26" i="32" s="1"/>
  <c r="AI112" i="32"/>
  <c r="AI111" i="32" s="1"/>
  <c r="AN175" i="32"/>
  <c r="AX247" i="32"/>
  <c r="AX246" i="32" s="1"/>
  <c r="BE27" i="32"/>
  <c r="AF27" i="32"/>
  <c r="AN149" i="32"/>
  <c r="AN148" i="32" s="1"/>
  <c r="AV26" i="32"/>
  <c r="AD28" i="32"/>
  <c r="AP186" i="32"/>
  <c r="AP185" i="32" s="1"/>
  <c r="AP233" i="32"/>
  <c r="AP232" i="32" s="1"/>
  <c r="AI233" i="32"/>
  <c r="AI232" i="32" s="1"/>
  <c r="AS28" i="32"/>
  <c r="AN246" i="32"/>
  <c r="S60" i="32"/>
  <c r="AS246" i="32"/>
  <c r="BK26" i="32"/>
  <c r="AI135" i="32"/>
  <c r="AI134" i="32" s="1"/>
  <c r="AP28" i="32"/>
  <c r="AX185" i="32"/>
  <c r="AN41" i="32"/>
  <c r="AN40" i="32" s="1"/>
  <c r="AI272" i="32"/>
  <c r="AI271" i="32" s="1"/>
  <c r="AA26" i="32"/>
  <c r="AA27" i="32"/>
  <c r="AC40" i="32"/>
  <c r="AC27" i="32"/>
  <c r="AH26" i="32"/>
  <c r="AS60" i="32"/>
  <c r="AN60" i="32"/>
  <c r="AX41" i="32"/>
  <c r="AX40" i="32" s="1"/>
  <c r="AN186" i="32"/>
  <c r="AN185" i="32" s="1"/>
  <c r="AP246" i="32"/>
  <c r="AN27" i="32"/>
  <c r="AN29" i="32"/>
  <c r="AP60" i="32"/>
  <c r="AD27" i="32"/>
  <c r="BF246" i="32"/>
  <c r="BF26" i="32" s="1"/>
  <c r="AP40" i="32"/>
  <c r="AP27" i="32"/>
  <c r="AI60" i="32"/>
  <c r="N28" i="32"/>
  <c r="AI247" i="32"/>
  <c r="AI246" i="32" s="1"/>
  <c r="BF27" i="32"/>
  <c r="AD60" i="32"/>
  <c r="BH26" i="32"/>
  <c r="AI149" i="32"/>
  <c r="AI148" i="32" s="1"/>
  <c r="S233" i="32"/>
  <c r="S232" i="32" s="1"/>
  <c r="BK27" i="32"/>
  <c r="BF28" i="32"/>
  <c r="AR232" i="32"/>
  <c r="N44" i="32"/>
  <c r="AI41" i="32"/>
  <c r="AR60" i="32"/>
  <c r="N252" i="32"/>
  <c r="N247" i="32" s="1"/>
  <c r="N246" i="32" s="1"/>
  <c r="AR96" i="32"/>
  <c r="AR185" i="32"/>
  <c r="N149" i="32"/>
  <c r="N148" i="32" s="1"/>
  <c r="S149" i="32"/>
  <c r="S148" i="32" s="1"/>
  <c r="AX26" i="32"/>
  <c r="S29" i="32"/>
  <c r="AW40" i="32"/>
  <c r="AW26" i="32" s="1"/>
  <c r="AW27" i="32"/>
  <c r="M60" i="32"/>
  <c r="M26" i="32" s="1"/>
  <c r="M27" i="32"/>
  <c r="AC148" i="32"/>
  <c r="AU27" i="32"/>
  <c r="AU29" i="32"/>
  <c r="AU26" i="32" s="1"/>
  <c r="N29" i="32"/>
  <c r="AD29" i="32"/>
  <c r="AF26" i="32"/>
  <c r="AR148" i="32"/>
  <c r="AI29" i="32"/>
  <c r="AR175" i="32"/>
  <c r="AS27" i="32"/>
  <c r="AS29" i="32"/>
  <c r="AS26" i="32" s="1"/>
  <c r="BC246" i="32"/>
  <c r="BC26" i="32" s="1"/>
  <c r="AR111" i="32"/>
  <c r="AR27" i="32"/>
  <c r="S175" i="32"/>
  <c r="S28" i="32"/>
  <c r="N60" i="32"/>
  <c r="AX27" i="32"/>
  <c r="BC27" i="32" l="1"/>
  <c r="AI27" i="32"/>
  <c r="AD26" i="32"/>
  <c r="S40" i="32"/>
  <c r="AC26" i="32"/>
  <c r="AP26" i="32"/>
  <c r="AN26" i="32"/>
  <c r="S27" i="32"/>
  <c r="N41" i="32"/>
  <c r="AI40" i="32"/>
  <c r="AI26" i="32" s="1"/>
  <c r="AR26" i="32"/>
  <c r="S26" i="32"/>
  <c r="N40" i="32" l="1"/>
  <c r="N26" i="32" s="1"/>
  <c r="N27" i="32"/>
</calcChain>
</file>

<file path=xl/comments1.xml><?xml version="1.0" encoding="utf-8"?>
<comments xmlns="http://schemas.openxmlformats.org/spreadsheetml/2006/main">
  <authors>
    <author>Нурбек Сериков</author>
  </authors>
  <commentList>
    <comment ref="AE31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187 568 тыс.тенге, 
пул 152 171 тыс.тенге</t>
        </r>
      </text>
    </comment>
    <comment ref="AE32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140 223 тыс.тенге, 
пул 41 299 тыс.тенге</t>
        </r>
      </text>
    </comment>
    <comment ref="AE33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247 872 тыс.тенге, 
пул 27 215 тыс.тенге</t>
        </r>
      </text>
    </comment>
    <comment ref="AE34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271 645 тыс.тенге,
пул 24 447 тыс.тенге</t>
        </r>
      </text>
    </comment>
    <comment ref="AE35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127 986 тыс.тенге, 
пул 14 960</t>
        </r>
      </text>
    </comment>
    <comment ref="AE36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454 125 тыс.тенге, 
пул 138 777 тыс.тенге</t>
        </r>
      </text>
    </comment>
    <comment ref="AC38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295439</t>
        </r>
      </text>
    </comment>
    <comment ref="AC39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142694</t>
        </r>
      </text>
    </comment>
    <comment ref="AE42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90 341 тыс.тенге, 
пул 13 633</t>
        </r>
      </text>
    </comment>
    <comment ref="AE43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343 374 тыс.тенге, 
пул 4 953 тыс.тенге</t>
        </r>
      </text>
    </comment>
    <comment ref="AE44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326 285 тыс.тенге
пул 4823 тыс.тенге</t>
        </r>
      </text>
    </comment>
    <comment ref="AE62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97 003 тыс.тенге, 
пул 554 тыс.тенге</t>
        </r>
      </text>
    </comment>
    <comment ref="AE64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138 442 тыс.тенге, 
пул 1220 тыс.тенге</t>
        </r>
      </text>
    </comment>
    <comment ref="AE98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98 786 тыс.тенге,
пул 13 744</t>
        </r>
      </text>
    </comment>
    <comment ref="AE99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109 200 тыс.тенге,
пул 33 041 тыс.тенге</t>
        </r>
      </text>
    </comment>
    <comment ref="AE100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102 402 тыс.тенге,
пул 6 960 тыс.тенге</t>
        </r>
      </text>
    </comment>
    <comment ref="AC106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100000
</t>
        </r>
      </text>
    </comment>
    <comment ref="AE114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888 044  тыс.тенге,
5 980 тыс.тенге</t>
        </r>
      </text>
    </comment>
    <comment ref="AE115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143 284
пул 3977</t>
        </r>
      </text>
    </comment>
    <comment ref="AC125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150000
</t>
        </r>
      </text>
    </comment>
    <comment ref="AE136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212 830 тыс.тенге,
пул 6374 тыс.тенге</t>
        </r>
      </text>
    </comment>
    <comment ref="AE137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80 821 тыс.тенге,
пул 4990 тыс.тенге</t>
        </r>
      </text>
    </comment>
    <comment ref="AE138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113 881 тыс.тенге,
пул 6 009 тыс..тенге</t>
        </r>
      </text>
    </comment>
    <comment ref="AE139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158 562 тыс.тенге, 
пул 1105 тыс.тенге </t>
        </r>
      </text>
    </comment>
    <comment ref="AE140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95 804 тыс.тенге,
пул 1977 тыс.тенге</t>
        </r>
      </text>
    </comment>
    <comment ref="AE141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82 850 тыс.тенге, 
пул 735 тыс.тенге</t>
        </r>
      </text>
    </comment>
    <comment ref="AE150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211 985 тыс.тенге,
пул 2145 тыс.тенге</t>
        </r>
      </text>
    </comment>
    <comment ref="AE151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479 434 тыс.тенге,
пул 18 339 тыс.тенге</t>
        </r>
      </text>
    </comment>
    <comment ref="AE177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85 137 тыс.тенге,
пул 43 289 тыс.тенге</t>
        </r>
      </text>
    </comment>
    <comment ref="AE187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580 490 тыс.тенге
пул 137 782 тыс.тенге</t>
        </r>
      </text>
    </comment>
    <comment ref="AE189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693 442 тыс.тенге,
добавить + 133 161 тыс.тг</t>
        </r>
      </text>
    </comment>
    <comment ref="AE190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131 710 тыс.тенге,
пул 43 037 тыс.тенге</t>
        </r>
      </text>
    </comment>
    <comment ref="AE191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792 939 тыс.тенге,
пул 531 тыс.тенге</t>
        </r>
      </text>
    </comment>
    <comment ref="AE193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284 949 тыс.тенге,
пул 26 872 тыс.тенге</t>
        </r>
      </text>
    </comment>
    <comment ref="AE194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174 682 тыс.тенге,
пкл 5 718 тыс.тенге</t>
        </r>
      </text>
    </comment>
    <comment ref="AC208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446200</t>
        </r>
      </text>
    </comment>
    <comment ref="AT208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91 722 тыс.тенге</t>
        </r>
      </text>
    </comment>
    <comment ref="AE211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171 325 тыс.тенге,
пул 18 911 тыс.тенге</t>
        </r>
      </text>
    </comment>
    <comment ref="AE212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214 363 тыс.тенге,
пул 19 579 тыс.тенге</t>
        </r>
      </text>
    </comment>
    <comment ref="AE213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189 851 тыс.тенге,
пул 16 313 тыс.тенге</t>
        </r>
      </text>
    </comment>
    <comment ref="AE214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204 522 тыс.тенге,
пул 4 810 тыс.тенге</t>
        </r>
      </text>
    </comment>
    <comment ref="AE215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185 661 тыс.тенге
пул 23 950 тыс.тенге</t>
        </r>
      </text>
    </comment>
    <comment ref="AE216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238 056 тыс.тенге,
пул 30 063 тыс.тенге</t>
        </r>
      </text>
    </comment>
    <comment ref="AE217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487 384 тыс.тенге,
пул 40 689 тыс.тенге</t>
        </r>
      </text>
    </comment>
    <comment ref="AE218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186 618 тыс.тенге,
пул 14 406 тыс.тенге</t>
        </r>
      </text>
    </comment>
    <comment ref="AE219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327 839 тыс.тенге,
пул 29 963 тыс.тенге</t>
        </r>
      </text>
    </comment>
    <comment ref="AE220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167 494 тыс.тенге, с учетом 13 012 тыс.тг,
пул 107 558 тыс.тг</t>
        </r>
      </text>
    </comment>
    <comment ref="AE236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529 152 тыс.тенге,
пул 44 765 тыс.тенге</t>
        </r>
      </text>
    </comment>
    <comment ref="AE240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627957 тыс.тенге,
пул 49 475 тыс.тенге</t>
        </r>
      </text>
    </comment>
    <comment ref="AC245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118106</t>
        </r>
      </text>
    </comment>
    <comment ref="AE249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243 822 тыс.тг
пул 60 910 тыс.тг</t>
        </r>
      </text>
    </comment>
    <comment ref="AE250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186 436 тыс.тенге,
пул 17 734 тыс.тенге</t>
        </r>
      </text>
    </comment>
    <comment ref="AE273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67 377 тыс.тенге,
пул 27 833 тыс.тенге</t>
        </r>
      </text>
    </comment>
    <comment ref="AE274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123 448 тыс.тенге,
 пул 8 858 тыс.тенге</t>
        </r>
      </text>
    </comment>
    <comment ref="AE275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104 419 тыс.тенге, 
пул 10 411 тыс.тенге</t>
        </r>
      </text>
    </comment>
    <comment ref="AE276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76 918 тыс.тенге,
пул 5 317 тыс.тенге</t>
        </r>
      </text>
    </comment>
    <comment ref="AE277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69 816 тыс.тенге,
пул 2 194 тыс.тенге</t>
        </r>
      </text>
    </comment>
    <comment ref="AE278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108 113 тыс.тенге, 
10000 в 2014 году</t>
        </r>
      </text>
    </comment>
    <comment ref="AE279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63 179 тыс.тенге,
пул 2 480 тыс.тенге</t>
        </r>
      </text>
    </comment>
    <comment ref="AE280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178 547 тыс.тенге,
добавить 48 790 тыс.тг</t>
        </r>
      </text>
    </comment>
    <comment ref="AE281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69 747 тыс.тенге,
пул 75 351 тыс.тенге</t>
        </r>
      </text>
    </comment>
    <comment ref="AE282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77 944 тыс.тенге,
пул 3 844 тыс.тенге</t>
        </r>
      </text>
    </comment>
    <comment ref="AE284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39 454 тыс.тенге, 
пул 2 468 тыс.тенге</t>
        </r>
      </text>
    </comment>
    <comment ref="AE285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71 288 тыс.тенге,
пул 2543 тыс.тенге</t>
        </r>
      </text>
    </comment>
    <comment ref="AE286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43 469 тыс.тенге,
пул 30 359 тыс.тенге</t>
        </r>
      </text>
    </comment>
    <comment ref="AE287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44 512 тыс.тенге,
пул 2 260 тыс.тенге</t>
        </r>
      </text>
    </comment>
    <comment ref="AE288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101 287 тыс.тенге,
пул 1608 тыс.тенге</t>
        </r>
      </text>
    </comment>
    <comment ref="AE290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72 583 тыс.тенге,
пул 6779 тыс.тенге</t>
        </r>
      </text>
    </comment>
    <comment ref="AE295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43947 тыс.тг с учетом,
пул 11 486 тыс.тг</t>
        </r>
      </text>
    </comment>
    <comment ref="AE296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59 805 тыс.тенге,
пул 2988 тыс.тенге</t>
        </r>
      </text>
    </comment>
    <comment ref="AE297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46 381 тыс.тенге,
пул 875 тыс.тенге</t>
        </r>
      </text>
    </comment>
    <comment ref="AE298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29 357 тыс.тенге, 
пул. 2561 тыс.тенге</t>
        </r>
      </text>
    </comment>
    <comment ref="AE299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48 716 тыс.тенге,
пул 957 тыс.тенге</t>
        </r>
      </text>
    </comment>
    <comment ref="AE300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43 303 тыс.тенге,
пул 16 098 тыс.тенге</t>
        </r>
      </text>
    </comment>
    <comment ref="AE301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68 673 тыс.тенге,
пул 1101 тыс.тенге</t>
        </r>
      </text>
    </comment>
    <comment ref="AC306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181422</t>
        </r>
      </text>
    </comment>
    <comment ref="AC312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54722</t>
        </r>
      </text>
    </comment>
  </commentList>
</comments>
</file>

<file path=xl/comments2.xml><?xml version="1.0" encoding="utf-8"?>
<comments xmlns="http://schemas.openxmlformats.org/spreadsheetml/2006/main">
  <authors>
    <author>Нурбек Сериков</author>
  </authors>
  <commentList>
    <comment ref="AE31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187 568 тыс.тенге, 
пул 152 171 тыс.тенге</t>
        </r>
      </text>
    </comment>
    <comment ref="AE32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140 223 тыс.тенге, 
пул 41 299 тыс.тенге</t>
        </r>
      </text>
    </comment>
    <comment ref="AE33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247 872 тыс.тенге, 
пул 27 215 тыс.тенге</t>
        </r>
      </text>
    </comment>
    <comment ref="AE34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271 645 тыс.тенге,
пул 24 447 тыс.тенге</t>
        </r>
      </text>
    </comment>
    <comment ref="AE35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127 986 тыс.тенге, 
пул 14 960</t>
        </r>
      </text>
    </comment>
    <comment ref="AE36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454 125 тыс.тенге, 
пул 138 777 тыс.тенге</t>
        </r>
      </text>
    </comment>
    <comment ref="AC38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295439</t>
        </r>
      </text>
    </comment>
    <comment ref="AC39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142694</t>
        </r>
      </text>
    </comment>
    <comment ref="AE42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90 341 тыс.тенге, 
пул 13 633</t>
        </r>
      </text>
    </comment>
    <comment ref="AE43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343 374 тыс.тенге, 
пул 4 953 тыс.тенге</t>
        </r>
      </text>
    </comment>
    <comment ref="AE44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326 285 тыс.тенге
пул 4823 тыс.тенге</t>
        </r>
      </text>
    </comment>
    <comment ref="AE62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97 003 тыс.тенге, 
пул 554 тыс.тенге</t>
        </r>
      </text>
    </comment>
    <comment ref="AE64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138 442 тыс.тенге, 
пул 1220 тыс.тенге</t>
        </r>
      </text>
    </comment>
    <comment ref="AE98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98 786 тыс.тенге,
пул 13 744</t>
        </r>
      </text>
    </comment>
    <comment ref="AE99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109 200 тыс.тенге,
пул 33 041 тыс.тенге</t>
        </r>
      </text>
    </comment>
    <comment ref="AE100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102 402 тыс.тенге,
пул 6 960 тыс.тенге</t>
        </r>
      </text>
    </comment>
    <comment ref="AC106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100000
</t>
        </r>
      </text>
    </comment>
    <comment ref="AE114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888 044  тыс.тенге,
5 980 тыс.тенге</t>
        </r>
      </text>
    </comment>
    <comment ref="AE115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143 284
пул 3977</t>
        </r>
      </text>
    </comment>
    <comment ref="AC125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150000
</t>
        </r>
      </text>
    </comment>
    <comment ref="AE136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212 830 тыс.тенге,
пул 6374 тыс.тенге</t>
        </r>
      </text>
    </comment>
    <comment ref="AE137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80 821 тыс.тенге,
пул 4990 тыс.тенге</t>
        </r>
      </text>
    </comment>
    <comment ref="AE138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113 881 тыс.тенге,
пул 6 009 тыс..тенге</t>
        </r>
      </text>
    </comment>
    <comment ref="AE139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158 562 тыс.тенге, 
пул 1105 тыс.тенге </t>
        </r>
      </text>
    </comment>
    <comment ref="AE140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95 804 тыс.тенге,
пул 1977 тыс.тенге</t>
        </r>
      </text>
    </comment>
    <comment ref="AE141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82 850 тыс.тенге, 
пул 735 тыс.тенге</t>
        </r>
      </text>
    </comment>
    <comment ref="AE150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211 985 тыс.тенге,
пул 2145 тыс.тенге</t>
        </r>
      </text>
    </comment>
    <comment ref="AE151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479 434 тыс.тенге,
пул 18 339 тыс.тенге</t>
        </r>
      </text>
    </comment>
    <comment ref="AE177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85 137 тыс.тенге,
пул 43 289 тыс.тенге</t>
        </r>
      </text>
    </comment>
    <comment ref="AE187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580 490 тыс.тенге
пул 137 782 тыс.тенге</t>
        </r>
      </text>
    </comment>
    <comment ref="AE189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693 442 тыс.тенге,
добавить + 133 161 тыс.тг</t>
        </r>
      </text>
    </comment>
    <comment ref="AE190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131 710 тыс.тенге,
пул 43 037 тыс.тенге</t>
        </r>
      </text>
    </comment>
    <comment ref="AE191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792 939 тыс.тенге,
пул 531 тыс.тенге</t>
        </r>
      </text>
    </comment>
    <comment ref="AE193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284 949 тыс.тенге,
пул 26 872 тыс.тенге</t>
        </r>
      </text>
    </comment>
    <comment ref="AE194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174 682 тыс.тенге,
пкл 5 718 тыс.тенге</t>
        </r>
      </text>
    </comment>
    <comment ref="AC208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446200</t>
        </r>
      </text>
    </comment>
    <comment ref="AT208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91 722 тыс.тенге</t>
        </r>
      </text>
    </comment>
    <comment ref="AE211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171 325 тыс.тенге,
пул 18 911 тыс.тенге</t>
        </r>
      </text>
    </comment>
    <comment ref="AE212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214 363 тыс.тенге,
пул 19 579 тыс.тенге</t>
        </r>
      </text>
    </comment>
    <comment ref="AE213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189 851 тыс.тенге,
пул 16 313 тыс.тенге</t>
        </r>
      </text>
    </comment>
    <comment ref="AE214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204 522 тыс.тенге,
пул 4 810 тыс.тенге</t>
        </r>
      </text>
    </comment>
    <comment ref="AE215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185 661 тыс.тенге
пул 23 950 тыс.тенге</t>
        </r>
      </text>
    </comment>
    <comment ref="AE216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238 056 тыс.тенге,
пул 30 063 тыс.тенге</t>
        </r>
      </text>
    </comment>
    <comment ref="AE217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487 384 тыс.тенге,
пул 40 689 тыс.тенге</t>
        </r>
      </text>
    </comment>
    <comment ref="AE218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186 618 тыс.тенге,
пул 14 406 тыс.тенге</t>
        </r>
      </text>
    </comment>
    <comment ref="AE219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327 839 тыс.тенге,
пул 29 963 тыс.тенге</t>
        </r>
      </text>
    </comment>
    <comment ref="AE220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167 494 тыс.тенге, с учетом 13 012 тыс.тг,
пул 107 558 тыс.тг</t>
        </r>
      </text>
    </comment>
    <comment ref="AE236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529 152 тыс.тенге,
пул 44 765 тыс.тенге</t>
        </r>
      </text>
    </comment>
    <comment ref="AE240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627957 тыс.тенге,
пул 49 475 тыс.тенге</t>
        </r>
      </text>
    </comment>
    <comment ref="AC245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118106</t>
        </r>
      </text>
    </comment>
    <comment ref="AE249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243 822 тыс.тг
пул 60 910 тыс.тг</t>
        </r>
      </text>
    </comment>
    <comment ref="AE250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186 436 тыс.тенге,
пул 17 734 тыс.тенге</t>
        </r>
      </text>
    </comment>
    <comment ref="AE273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67 377 тыс.тенге,
пул 27 833 тыс.тенге</t>
        </r>
      </text>
    </comment>
    <comment ref="AE274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123 448 тыс.тенге,
 пул 8 858 тыс.тенге</t>
        </r>
      </text>
    </comment>
    <comment ref="AE275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104 419 тыс.тенге, 
пул 10 411 тыс.тенге</t>
        </r>
      </text>
    </comment>
    <comment ref="AE276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76 918 тыс.тенге,
пул 5 317 тыс.тенге</t>
        </r>
      </text>
    </comment>
    <comment ref="AE277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69 816 тыс.тенге,
пул 2 194 тыс.тенге</t>
        </r>
      </text>
    </comment>
    <comment ref="AE278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108 113 тыс.тенге, 
10000 в 2014 году</t>
        </r>
      </text>
    </comment>
    <comment ref="AE279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63 179 тыс.тенге,
пул 2 480 тыс.тенге</t>
        </r>
      </text>
    </comment>
    <comment ref="AE280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178 547 тыс.тенге,
добавить 48 790 тыс.тг</t>
        </r>
      </text>
    </comment>
    <comment ref="AE281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69 747 тыс.тенге,
пул 75 351 тыс.тенге</t>
        </r>
      </text>
    </comment>
    <comment ref="AE282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77 944 тыс.тенге,
пул 3 844 тыс.тенге</t>
        </r>
      </text>
    </comment>
    <comment ref="AE284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39 454 тыс.тенге, 
пул 2 468 тыс.тенге</t>
        </r>
      </text>
    </comment>
    <comment ref="AE285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71 288 тыс.тенге,
пул 2543 тыс.тенге</t>
        </r>
      </text>
    </comment>
    <comment ref="AE286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43 469 тыс.тенге,
пул 30 359 тыс.тенге</t>
        </r>
      </text>
    </comment>
    <comment ref="AE287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44 512 тыс.тенге,
пул 2 260 тыс.тенге</t>
        </r>
      </text>
    </comment>
    <comment ref="AE288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101 287 тыс.тенге,
пул 1608 тыс.тенге</t>
        </r>
      </text>
    </comment>
    <comment ref="AE290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72 583 тыс.тенге,
пул 6779 тыс.тенге</t>
        </r>
      </text>
    </comment>
    <comment ref="AE295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43947 тыс.тг с учетом,
пул 11 486 тыс.тг</t>
        </r>
      </text>
    </comment>
    <comment ref="AE296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59 805 тыс.тенге,
пул 2988 тыс.тенге</t>
        </r>
      </text>
    </comment>
    <comment ref="AE297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46 381 тыс.тенге,
пул 875 тыс.тенге</t>
        </r>
      </text>
    </comment>
    <comment ref="AE298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29 357 тыс.тенге, 
пул. 2561 тыс.тенге</t>
        </r>
      </text>
    </comment>
    <comment ref="AE299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48 716 тыс.тенге,
пул 957 тыс.тенге</t>
        </r>
      </text>
    </comment>
    <comment ref="AE300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43 303 тыс.тенге,
пул 16 098 тыс.тенге</t>
        </r>
      </text>
    </comment>
    <comment ref="AE301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68 673 тыс.тенге,
пул 1101 тыс.тенге</t>
        </r>
      </text>
    </comment>
    <comment ref="AC306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181422</t>
        </r>
      </text>
    </comment>
    <comment ref="AC312" authorId="0">
      <text>
        <r>
          <rPr>
            <b/>
            <sz val="9"/>
            <color indexed="81"/>
            <rFont val="Tahoma"/>
            <family val="2"/>
            <charset val="204"/>
          </rPr>
          <t>Нурбек Сериков:</t>
        </r>
        <r>
          <rPr>
            <sz val="9"/>
            <color indexed="81"/>
            <rFont val="Tahoma"/>
            <family val="2"/>
            <charset val="204"/>
          </rPr>
          <t xml:space="preserve">
54722</t>
        </r>
      </text>
    </comment>
  </commentList>
</comments>
</file>

<file path=xl/sharedStrings.xml><?xml version="1.0" encoding="utf-8"?>
<sst xmlns="http://schemas.openxmlformats.org/spreadsheetml/2006/main" count="5351" uniqueCount="2092">
  <si>
    <t>Период реализации</t>
  </si>
  <si>
    <t>Приказ об утверждении ПСД</t>
  </si>
  <si>
    <t>Заключение СЭС</t>
  </si>
  <si>
    <t>Заключение экологии</t>
  </si>
  <si>
    <t>Отраслевое заключение</t>
  </si>
  <si>
    <t>Кол-во</t>
  </si>
  <si>
    <t>кол-во</t>
  </si>
  <si>
    <t>Водоснабжение</t>
  </si>
  <si>
    <t>Водоотведение</t>
  </si>
  <si>
    <t>2014-2015</t>
  </si>
  <si>
    <t>2015-2016</t>
  </si>
  <si>
    <t>б/н</t>
  </si>
  <si>
    <t>Наименование проектов</t>
  </si>
  <si>
    <t>Общая сметная стоимость</t>
  </si>
  <si>
    <t>переход</t>
  </si>
  <si>
    <t>новые</t>
  </si>
  <si>
    <t xml:space="preserve">Наличие документации </t>
  </si>
  <si>
    <t>ГЭ на ПСД</t>
  </si>
  <si>
    <t>подтверждение запасов воды</t>
  </si>
  <si>
    <t>из них на 2016 год</t>
  </si>
  <si>
    <t>МБ на 2016 г. (софин)</t>
  </si>
  <si>
    <t>№ п/п</t>
  </si>
  <si>
    <t>Кол-во проек-тов</t>
  </si>
  <si>
    <t>тыс.тенге</t>
  </si>
  <si>
    <t>Выделено до 2015 г. (РБ+МБ)</t>
  </si>
  <si>
    <t>ВСЕГО
ПЛАН 
на 2015г. (РБ+МБ)</t>
  </si>
  <si>
    <t xml:space="preserve">МБ                      на 2015 г. (софин)  </t>
  </si>
  <si>
    <t>из них на 2017 год</t>
  </si>
  <si>
    <t>МБ на 2017 г. (софин)</t>
  </si>
  <si>
    <t>Строительство группового водовода для водоснабжения аулов Шайкорык,Танта, Коныртобе, Капал и станции Шайкорык Жамбылского сельского округа Жамбылского района Жамбылской области</t>
  </si>
  <si>
    <t>№08-0465/13 от 18.06.2013 г.</t>
  </si>
  <si>
    <t>№95 ПВ-13-07-Ж от 25.02.2014 г.</t>
  </si>
  <si>
    <t>№28 от 19.05.2013 г.</t>
  </si>
  <si>
    <t>№ЗТ-М-439 от 25.05.2013 г.</t>
  </si>
  <si>
    <t>Строительство систем водоснабжения а.Луговое района Т.Рыскулова Жамбылской области</t>
  </si>
  <si>
    <t>Жамбыл облысы Т.Рыскулов ауданы Луговой ауылының сумен жабдықтау жүйесінің құрылысын салу</t>
  </si>
  <si>
    <t>№08-0009/14 от 23.01.2014 г.</t>
  </si>
  <si>
    <t>№1788 от 26.07.2012 г.</t>
  </si>
  <si>
    <t>№11 от 25.01.2014 г.</t>
  </si>
  <si>
    <t>№ 44 от 08.02.2012 г.</t>
  </si>
  <si>
    <t>№07-1922 от 28.09.2012 г.</t>
  </si>
  <si>
    <t>Жамбыл облысы Т.Рыскулов ауданы Байтелі ауылының сумен қамтамасыз ету жүйесі құрылысын салу</t>
  </si>
  <si>
    <t>№08-0753/13 от 20.11.2013 г.</t>
  </si>
  <si>
    <t>№37 ПВ-13-07-Ж от 10.01.2014 г.</t>
  </si>
  <si>
    <t>№254 от 25.09.2013</t>
  </si>
  <si>
    <t>Жамбыл облысы Т.Рысқұлов ауданы Тасшолақ ауылының сумен қамтамасыз ету жүйесі құрылысын салу</t>
  </si>
  <si>
    <t>№08-0740/13 от 12.11.2013 г.</t>
  </si>
  <si>
    <t>№ 35 ПВ-13-07-Ж от 10.01.2014 г.</t>
  </si>
  <si>
    <t>№ 247 от 20.12.2013 г.</t>
  </si>
  <si>
    <t>№ ЗТ-М-456 от 07.08.2013 г.</t>
  </si>
  <si>
    <t>№07-19/452 от 20.02.2014 г.</t>
  </si>
  <si>
    <t>№892-09-У от 10.12.2009г.</t>
  </si>
  <si>
    <t>Строительство линии подводки водопровода к границам участков потребителей населенного пункта Примова Казалинского района Кызылординской области</t>
  </si>
  <si>
    <t>№14-0596/13 от 23.12.2013 г.</t>
  </si>
  <si>
    <t>№02-4/18 от 27.01.2014 г.</t>
  </si>
  <si>
    <t>Строительство линии подводки водопровода к границам участков потребителей населенного пункта Муратбаева Казалинского района Кызылординской области</t>
  </si>
  <si>
    <t>Қызылорда облысы Қазалы ауданы Мұратбаев елді мекеніндегі тұтынушылардың учаскелерінің шекарасына ауыз су құбырын жеткізу желілерінің құрылысы</t>
  </si>
  <si>
    <t>№14-0597/13 от 23.12.2013 г.</t>
  </si>
  <si>
    <t>Строительство линии подводки водопровода к границам участков потребителей населенного пункта Туктибаева Казалинского района Кызылординской области</t>
  </si>
  <si>
    <t>Қызылорда облысы Қазалы ауданы Түктібаев елді мекеніндегі тұтынушылардың учаскелерінің шекарасына ауыз су құбырын жеткізу желілерінің құрылысы</t>
  </si>
  <si>
    <t>№14-0590/13 от 20.12.2013г.</t>
  </si>
  <si>
    <t>Реконструкция водопровода с.Жусандой Каратобинского района ЗКО</t>
  </si>
  <si>
    <t>БҚО Қаратобе ауданы Жусандыой ауылының су құбырын қайта құру</t>
  </si>
  <si>
    <t>№09-0017/14 от 17.01.2014 г.</t>
  </si>
  <si>
    <t>Водоснабжение с.Нурсай Казталовского района ЗКО</t>
  </si>
  <si>
    <t>БҚО Қазталов ауданының Нұрсай ауылын сумен жабдықтау</t>
  </si>
  <si>
    <t>№09-0618/13 от 24.12.2013 г.</t>
  </si>
  <si>
    <t>№37 от 15.07.2013 г.</t>
  </si>
  <si>
    <t>№379 от 24.07.2013г.</t>
  </si>
  <si>
    <t>№14 от 19.02.2014 г.</t>
  </si>
  <si>
    <t>Строительство водопровода с.Акоба Жанибекского района ЗКО (корректировка)</t>
  </si>
  <si>
    <t>БҚО Жәнібек ауданының Ақоба ауылындағы су құбырының құрылысы (түзету)</t>
  </si>
  <si>
    <t>№20 от 26.08.2013 г.</t>
  </si>
  <si>
    <t>№18 от 20.09.2013 г.</t>
  </si>
  <si>
    <t>№41 от 17.01.2013 г.</t>
  </si>
  <si>
    <t>№3 от 04.01.2013 г.</t>
  </si>
  <si>
    <t>№09-0384/13 от 09.08.2013 г.</t>
  </si>
  <si>
    <t>Реконструкция водопровода с.Дарьинское Зеленовского района ЗКО</t>
  </si>
  <si>
    <t>БҚО Зеленов ауданы Дариян ауылының су құбырын қайта құру</t>
  </si>
  <si>
    <t>№51 от 7.11.2013 г.</t>
  </si>
  <si>
    <t>№09-0490/13 от 24.10.2013 г.</t>
  </si>
  <si>
    <t>№154 от 19.03.2013 г.</t>
  </si>
  <si>
    <t>№196 от 22.04.2013 г.</t>
  </si>
  <si>
    <t>Реконструкция системы водоснабжения с.Казталовка Казталавского района ЗКО</t>
  </si>
  <si>
    <t>БҚО Қазталов ауданы Қазталов ауылының аудан орталығының сумен жабдықтау жүйесін қайта құру</t>
  </si>
  <si>
    <t>№15 от 19.02.2014 г.</t>
  </si>
  <si>
    <t>№09-0050/14 от 05.02.2014г.</t>
  </si>
  <si>
    <t>№391 от 30.07.2013г.</t>
  </si>
  <si>
    <t>Реконструкция системы водоснабжения с.Канай Бурлинского района ЗКО (корректировка)</t>
  </si>
  <si>
    <t>БҚО Бөрлі ауданының Қанай ауылының сумен жабдықтау жүйесін қайта құру (түзету)</t>
  </si>
  <si>
    <t>№28 от 12.08.2013г.</t>
  </si>
  <si>
    <t>№09-0387/13 от 12.08.2013г.</t>
  </si>
  <si>
    <t>№795 от 20.12.2009г</t>
  </si>
  <si>
    <t>№19 от 20.09.2013г.</t>
  </si>
  <si>
    <t>№87 от 18.01.2010</t>
  </si>
  <si>
    <t>Реконструкция водопровода в с.Кызылоба Жангалинского района ЗКО (повторно)</t>
  </si>
  <si>
    <t>БҚО Жаңақала ауданының Қызылоба ауылында су құбырын қайта құру (қайта қарау)</t>
  </si>
  <si>
    <t>№09-0541/13 от 20.11.2013г.</t>
  </si>
  <si>
    <t>№829 от 30.11.2012г</t>
  </si>
  <si>
    <t>№655 от 14.12.2012г</t>
  </si>
  <si>
    <t>№07-19/452 от 20.02.2014г</t>
  </si>
  <si>
    <t>№02-4/22 от 27.01.2014г</t>
  </si>
  <si>
    <t>№06-12/2927 от 30.10.2013г</t>
  </si>
  <si>
    <t>Строительство линии подводки водопровода к границам участков потребителей населенного пункта Бекарыстан би Казалинского района Кызылординской области</t>
  </si>
  <si>
    <t>Қызылорда облысы Қазалы ауданы Бекарыстан би елді мекеніндегі су құбыры желілерін тұтынушылар учаскесінің аймағына жеткізу құрылысы</t>
  </si>
  <si>
    <t>№02-4/15 от 27.01.2014г</t>
  </si>
  <si>
    <t>№541 от 04.10.2013г</t>
  </si>
  <si>
    <t>№06-12/2923 от 30.10.2013г</t>
  </si>
  <si>
    <t>Строительство линии подводки водопровода к границам участков потребителей населенного пункта Актан батыр Казалинского района Кызылординской области</t>
  </si>
  <si>
    <t>Қызылорда облысы Қазалы ауданы Ақтан батыр елді мекеніндегі су құбыры желілерін тұтынушылар учаскесінің аймағына жеткізу құрылысы</t>
  </si>
  <si>
    <t>Строительство водоснабжения отсутствующих линий водопровода в микрорайонах на станции Жетыбай,поселке Мунайшы,поселке Жетыбай</t>
  </si>
  <si>
    <t>Жетібай,Мұнайшы кенттері және Жетібай стансасының су құбыры тартылмаған ықшамаудандарын сумен жабдықтау құрылысы</t>
  </si>
  <si>
    <t>№15-0627/12 от 29.12.2012г</t>
  </si>
  <si>
    <t>№04-15/235 от 03.03.2014г</t>
  </si>
  <si>
    <t>№158 от 10.09.2012г</t>
  </si>
  <si>
    <t>Строительство внутрипоселкового водопровода в селе Бейнеу Бейнеуского района.Участок 5</t>
  </si>
  <si>
    <t>Бейнеу селосындағы кентішілік су құбыры құрылысы. 5 телім</t>
  </si>
  <si>
    <t>№04-15/369 от 28.02.2013г</t>
  </si>
  <si>
    <t>№268 от 02.12.2011г</t>
  </si>
  <si>
    <t>№15-0239/12 от 14.05.2012г</t>
  </si>
  <si>
    <t>Строительство внутрипоселкового водопровода в с.Бейнеу.Участок 1</t>
  </si>
  <si>
    <t>Бейнеу селосындағы кентішілік су құбыры құрылысы. 1 телім</t>
  </si>
  <si>
    <t>№15-0205/12 от 27.04.2012г</t>
  </si>
  <si>
    <t>№48-ө от 06.06.2012г</t>
  </si>
  <si>
    <t>№04-15/366 от 28.02.2013г</t>
  </si>
  <si>
    <t>Строительство внутрипоселкового водопровода в селе Бейнеу. Участок 2</t>
  </si>
  <si>
    <t>№15-0206/12 от 28.04.2012г</t>
  </si>
  <si>
    <t>№04-15/367 от 28.02.2013г</t>
  </si>
  <si>
    <t>№49-ө от 06.06.2012г</t>
  </si>
  <si>
    <t>Строительство внутрисельского водопровода и резервуара в селе с.Шапагатова</t>
  </si>
  <si>
    <t>Экономическое заключение</t>
  </si>
  <si>
    <t>Строительство внутрипоселкового водопровода в селе Бейнеу Бейнеуского района.Участок 4</t>
  </si>
  <si>
    <t>Бейнеу селосындағы кентішілік су құбыры құрылысы.4 телім</t>
  </si>
  <si>
    <t>№51-ө от 06.06.2012г</t>
  </si>
  <si>
    <t>№04-15/368 от 28.02.2013г</t>
  </si>
  <si>
    <t>Строительство внутрипоселкового водопровода в селе Бейнеу Бейнеуского района.Участок 3</t>
  </si>
  <si>
    <t>№04-15/364 от 28.02.2013г</t>
  </si>
  <si>
    <t>№5-12/871 от 07.06.2012г</t>
  </si>
  <si>
    <t>Строительство внутрипоселкового водопровода,резервуара,водоочистная установка и установка прибора учета в с.Тущыбек</t>
  </si>
  <si>
    <t>Тұщыбек селосында селоішілік су құбыры,сұйыққойма,су тазалғыш қондырғы және есептеу аспабы қондырғысы құрылысы</t>
  </si>
  <si>
    <t>№5-14/173 от 03.03.2014г</t>
  </si>
  <si>
    <t>№193 от 13.09.2011г</t>
  </si>
  <si>
    <t>№5-12/873 от 07.06.2012г</t>
  </si>
  <si>
    <t xml:space="preserve">Строительство сетей водоснабжения сельского округа Даулет Мунайлинского района </t>
  </si>
  <si>
    <t>№15-0581/12 от 14.12.2012г</t>
  </si>
  <si>
    <t>№04-15/385 от 01.03.2013г</t>
  </si>
  <si>
    <t>№5-14/191 от 13.03.2013г</t>
  </si>
  <si>
    <t>№138 от 03.08.2012г</t>
  </si>
  <si>
    <t>Строительство водоочистного сооружения в с.Бейнеу Бейнеуского района</t>
  </si>
  <si>
    <t>Бейнеу ауданы Бейнеу селосындағы су тазарту имараты құрылысы</t>
  </si>
  <si>
    <t>№135 от 19.04.2012г</t>
  </si>
  <si>
    <t>№15-0604/12 от 26.12.2012г</t>
  </si>
  <si>
    <t>№ 15-0331/13 от 18.10.2013г</t>
  </si>
  <si>
    <t>Атамекен селосының тұрғын массивтерін сумен жабдықтау желілерінің құрылысы</t>
  </si>
  <si>
    <t>№5-14/174 от 03.03.2014г</t>
  </si>
  <si>
    <t>№173 от 14.05.2013г</t>
  </si>
  <si>
    <t>№18 от 04.04.2013г</t>
  </si>
  <si>
    <t xml:space="preserve">Строительство внутрипоселкового водопровода в с.Акшукур </t>
  </si>
  <si>
    <t>№15-0071/14 от 13.02.2014г</t>
  </si>
  <si>
    <t xml:space="preserve">Ақшұқыр ауылында ауылшілік су құбыры құрылысы </t>
  </si>
  <si>
    <t>№21 от 28.02.2014г</t>
  </si>
  <si>
    <t>Строительство водопроводных сетей в населенном пункте Коссейит Шардаринского района ЮКО</t>
  </si>
  <si>
    <t>ОҚО Шардара ауданы Қоссейіт елді мекенінде су өткізгіштер желілерінің құрылысы</t>
  </si>
  <si>
    <t>№ 19-0996/12 от 15.12.2012 г</t>
  </si>
  <si>
    <t>№17-6-1183 от 05.10.2012г</t>
  </si>
  <si>
    <t>№001309 от 02.11.2012г</t>
  </si>
  <si>
    <t>№27 от 25.02.2013г</t>
  </si>
  <si>
    <t>№09-3685 от 09.12.2013г</t>
  </si>
  <si>
    <t>2014-2016</t>
  </si>
  <si>
    <t>Реконструкция системы водоснабжения в с.Бестогай Ерейментауского района Акмолинской области</t>
  </si>
  <si>
    <t>№12-0475/13 от 30.09.2013г</t>
  </si>
  <si>
    <t>№37 от 29.12.2008г</t>
  </si>
  <si>
    <t>№16 от 01.10.2013г</t>
  </si>
  <si>
    <t>№10-09 от 05.02.2013г</t>
  </si>
  <si>
    <t>№01-06/1203 от 17.04.2013г</t>
  </si>
  <si>
    <t>№06-41 от 12.10.2013г</t>
  </si>
  <si>
    <t>№553-2013/7 от 12.10.2013г</t>
  </si>
  <si>
    <t>Строительство водовода и реконструкция разводящих сетей в с.Березняковка -с.Заречное Зерендинского района Акмолинской области</t>
  </si>
  <si>
    <t>№12-0603/12 от 30.12.2012г</t>
  </si>
  <si>
    <t>№27 от 7.10.2011г</t>
  </si>
  <si>
    <t>№72 от 30.12.2012г</t>
  </si>
  <si>
    <t>№09-830 от 05.09.2012г</t>
  </si>
  <si>
    <t>№01-06/4366 от 20.11.2012г</t>
  </si>
  <si>
    <t>№06-31 от 24.01.2013г</t>
  </si>
  <si>
    <t>№12-0080-13 от 28.04.2013г</t>
  </si>
  <si>
    <t>№1119-11-У от 11.11.2011г</t>
  </si>
  <si>
    <t>№9 от 27.03.2013г</t>
  </si>
  <si>
    <t>№09-621 от 01.08.2012г</t>
  </si>
  <si>
    <t>№01-06/3314 от 13.09.2012г</t>
  </si>
  <si>
    <t>№06-37 от 24.04.2013г</t>
  </si>
  <si>
    <t>№517-2013/7 от 15.05.2013г</t>
  </si>
  <si>
    <t>Ақмола облысы Ерейментау ауданының Бестоғай селосындағы сумен жабдықтау желісін жаңғырту</t>
  </si>
  <si>
    <t xml:space="preserve">Строительство водопроводных сетей в с.Каменка с реконструкцией водозаборных сооружений и водовода </t>
  </si>
  <si>
    <t>Каменка селосында сутартқыш құрылыстары мен су тартқыштарды қайта жаңартумен су құбыры желілерінің құрылысы</t>
  </si>
  <si>
    <t>Ақмола облысы Зеренді ауданының Березняковка-Заречное селоларында су тартқыш салу және су тарату тораптарын қайта құралымдау</t>
  </si>
  <si>
    <t xml:space="preserve">Реконструкция водовода с.Чехово - с.Кишкенеколь Уалихановского района Северо-Казахстанской области </t>
  </si>
  <si>
    <t>2013-2015</t>
  </si>
  <si>
    <t>Реконструкция разводящих сетей водопровода с.Сокол Узункольского района Костанайской области</t>
  </si>
  <si>
    <t>водоснабжение</t>
  </si>
  <si>
    <t>Реконструкция системы водопроводных сетей в селе Караоткель Целиноградского района Акмолинской области</t>
  </si>
  <si>
    <t>Ақмола облысы Целиноград ауданының Қараөткел селосындағы   су құбыры желілерінің жүйесін  қайта құралымдау</t>
  </si>
  <si>
    <t xml:space="preserve">ГЭ № 12-0557/12 от 7.12.12 г. </t>
  </si>
  <si>
    <t xml:space="preserve">ТУ № 01-20/935 от 30.11.12 г. (срок 2 года) р.п. водовод Акмол-Караоткел  </t>
  </si>
  <si>
    <t xml:space="preserve">№ 01-04/55 от 12.12.2012 г.  </t>
  </si>
  <si>
    <t xml:space="preserve">№ 09-876 от 16.10.2012 г.    </t>
  </si>
  <si>
    <t xml:space="preserve">№01-06/4691 от 07.12.12 г.  </t>
  </si>
  <si>
    <t xml:space="preserve">№ 06-30 от 12.12.2012 г. </t>
  </si>
  <si>
    <t>№ 06-28 от 27.11.12 г.</t>
  </si>
  <si>
    <t>Реконструкция системы водоснабжения из подземных источников села Отрадное Жаркаинского района Акмолинской области</t>
  </si>
  <si>
    <t xml:space="preserve">Реконструкция водопроводных сетей в ауле Жибек жолы Аршалынского района Акмолинской области. Строительство разводящих сетей в западной части (первый массив) и восточной части аула (второй массив) </t>
  </si>
  <si>
    <t>Ақмола облысы Аршалы ауданының Жібек жолы ауылындағы су құбыры желілерін қайта құралымдау. Ауылдың батыс бөлігінде (бірінші миссив) және шығыс жағында (екінші массив) су тарату желілерінің құрылысы</t>
  </si>
  <si>
    <t xml:space="preserve">Реконструкция водопроводных сетей и подведение водопровода до границы раздела участков жилых домов в ауле Бозайгыр Шортандинского района Акмолинской области (2 очередь) </t>
  </si>
  <si>
    <t xml:space="preserve">Реконструкция водовода аул Акмол-село Караоткель Целиноградского района Акмолинской области </t>
  </si>
  <si>
    <t>Ақмола облысы Целиноград ауданы Ақмол ауылы-Қараөткел селосындағы су тартқышты қайта жаңғырту</t>
  </si>
  <si>
    <t>ГЭ на ПСД №12-0107/13 от 28.03.2013 г.</t>
  </si>
  <si>
    <t>ТУ на подключение от с.Оразак-а.Акмол №01-20/935 от 30.11.2012 г.</t>
  </si>
  <si>
    <t>№01-04/13 от 05.04.2013 г.</t>
  </si>
  <si>
    <t>№09-1236 от 21.12.2012 г.</t>
  </si>
  <si>
    <t>№01-06/917 от 20.03.2013 г.</t>
  </si>
  <si>
    <t>№06-39 от 24.04.2013 г.</t>
  </si>
  <si>
    <t>Ақтөбе қаласы Жаңа Қоныс ауылындағы (ауылдың ескі бөлігі) су құбыры желілерін және имараттарын қайта жаңарту</t>
  </si>
  <si>
    <t>Реконструкция водопроводных сетей и сооружений в с.Каргалинское г. Актобе</t>
  </si>
  <si>
    <t>Ақтөбе қаласы Қарғалы ауылындағы су құбыры желілері мен имараттарды қайта жаңарту</t>
  </si>
  <si>
    <t xml:space="preserve">Строительство объектов водоснабжения в с. Жайсанбай Иргизского района Актюбинской области </t>
  </si>
  <si>
    <t>№ 04-0245/12 от 11.05.2012 г.</t>
  </si>
  <si>
    <t>ЗКО ГКЗ РК № 666 от 28.12.2007 г., 27 лет</t>
  </si>
  <si>
    <t>№ 03-8/164 от 05.06.2012 г.</t>
  </si>
  <si>
    <t>№ 514 от 02.03.2012 г.</t>
  </si>
  <si>
    <t>№ 5-6/105 от 16.03.2012 г.</t>
  </si>
  <si>
    <t>№ 02-08/3134 от 13.11.2012 г.</t>
  </si>
  <si>
    <t>№ 04-0883/12 от 05.12.2012 г.</t>
  </si>
  <si>
    <t>ГКЗ № 896-09-У от 21.12.2009 г.,27 лет</t>
  </si>
  <si>
    <t>№ 03-8/479 от 29.12.2012 г.</t>
  </si>
  <si>
    <t>№ 2559 от 09.10.2012 г.</t>
  </si>
  <si>
    <t>№ 5-6/946 от 21.11.2012 г.</t>
  </si>
  <si>
    <t>№ 02-08/3135 от 13.11.2012 г.</t>
  </si>
  <si>
    <t xml:space="preserve">ЗК МКЗ № 12 от 10.11.2011 г., 27 лет </t>
  </si>
  <si>
    <t>№ 04-0034/13 от 08.02.2013 г.</t>
  </si>
  <si>
    <t>№ 6 от 07.02.2013 г.</t>
  </si>
  <si>
    <t>№ 1661 от 06.11.2012 г.</t>
  </si>
  <si>
    <t>№ 5-6/944 от 16.11.2012 г.</t>
  </si>
  <si>
    <t>№ 02-12/351 от 13.02.2013 г.</t>
  </si>
  <si>
    <t>№ 04-0032/13 от 07.02.2013 г.</t>
  </si>
  <si>
    <t>ТКЗ № 423 от 27.02.1997 г., 27 лет</t>
  </si>
  <si>
    <t>№ 4 от 07.02.2013 г.</t>
  </si>
  <si>
    <t>№ 1494 от 11.10.2012 г.</t>
  </si>
  <si>
    <t>№ 02-12/353 от 13.02.2013 г.</t>
  </si>
  <si>
    <t>Алматы облысы Балхаш ауданының Бақанас ауылындағы сумен жабдықтау жүйелерінің құрылысы және қайта жаңғырту</t>
  </si>
  <si>
    <t>Алматы облысы Жамбыл ауданының Ұзынағаш ауылындағы сумен жабдықтау жүйелерінің құрылысы және қайта жаңғырту. 2-ші кезек. Ауыл ішіндегі су құбырларының торабы</t>
  </si>
  <si>
    <t>Реконструкция и строительство системы водоснабжения с. Капал Аксукого района Алматинской области</t>
  </si>
  <si>
    <t>Алматы облысы Ақсу ауданының Қапал ауылындағы сумен жабдықтау жүйелерінің құрылысы және қайта жаңғырту</t>
  </si>
  <si>
    <t>Алматы облысы Еңбекшіқазақ ауданының Ақши ауылындағы сумен жабдықтау жүйелерінің құрылысы және қайта жаңғырту</t>
  </si>
  <si>
    <t>Реконструкция и строительство системы водоснабжения с. Ават Енбекшиказахского района Алматинской области</t>
  </si>
  <si>
    <t>Алматы облысы Еңбекшіқазақ ауданының Ават ауылындағы сумен жабдықтау жүйелерінің құрылысы және қайта жаңғырту</t>
  </si>
  <si>
    <t>Реконструкция и строительство системы водоснабжения с. Умбеталы Жамбылского района Алматинской области</t>
  </si>
  <si>
    <t>Алматы облысы Жамбыл ауданының Үмбеталы ауылындағы сумен жабдықтау жүйелерінің құрылысы және қайта жаңғырту</t>
  </si>
  <si>
    <t>Реконструкция и строительство системы водоснабжения с. Дегерес Жамбылского района Алматинской области</t>
  </si>
  <si>
    <t>Алматы облысы Жамбыл ауданының Дегерес ауылындағы сумен жабдықтау жүйелерінің құрылысы және қайта жаңғырту</t>
  </si>
  <si>
    <t xml:space="preserve">Реконструкция и строительство системы водоснабжения с. Жетыген Илийского района Алматинской области </t>
  </si>
  <si>
    <t>Алматы облысы Іле ауданының Жетіген ауылындағы сумен жабдықтау жүйелерінің құрылысы және қайта жаңғырту</t>
  </si>
  <si>
    <t>№26-26/1630 от 30.07.2013 года</t>
  </si>
  <si>
    <t>письмо КГН №17-03/3496-КГИ от 24.09.2012 г. (ГКЗ № 368 от 30.06.1977)</t>
  </si>
  <si>
    <t>№63/н от 16.03.2012 г.</t>
  </si>
  <si>
    <t>№766 от 27.09.2011 г.</t>
  </si>
  <si>
    <t>№ 3 от 14.02.12.</t>
  </si>
  <si>
    <t>БВИ №19-08-02-83/483 от 30.01.2013 г.</t>
  </si>
  <si>
    <t>отсутствует</t>
  </si>
  <si>
    <t>№54 от 10.08.2012 г.</t>
  </si>
  <si>
    <t>№25-06-25/3344/2361 от 20.09.2012 г.</t>
  </si>
  <si>
    <t>№279 от 27.05.2013 г.</t>
  </si>
  <si>
    <t>Тургенский ГВ (Тех условия №19-15-12-01/867 от 04.02.13.)</t>
  </si>
  <si>
    <t>№155/н от 01.11.2012 г.</t>
  </si>
  <si>
    <t>№29 от 02.09.2011 г.</t>
  </si>
  <si>
    <t>№25-06-25/5082/111 от 11.01.2013 г.</t>
  </si>
  <si>
    <t>№89 от 01.11.12</t>
  </si>
  <si>
    <t>№26-26/484 от 14.03.2013 г.</t>
  </si>
  <si>
    <t>№18-0444/12 от 6.06.2012 г.</t>
  </si>
  <si>
    <t>№98/н от 10.08.2012 г.</t>
  </si>
  <si>
    <t>№142 от 11.03.2012 г.</t>
  </si>
  <si>
    <t>№25-06-25/775/572 от 14.03.2012 г.</t>
  </si>
  <si>
    <t>Махамбет ауданы Сарытоғай  селосындағы су тазарту ғимараттарын және су құбырларын  қайта жаңарту</t>
  </si>
  <si>
    <t xml:space="preserve">Жылыой ауданы Тұрғызба  селосындағы селоішілік су құбыры желісінің құрылысы </t>
  </si>
  <si>
    <t>Реконструкция  системы водоснабжения с.Урыль Катон-Карагайского района ВКО</t>
  </si>
  <si>
    <t>Шығыс Қазақстан облысы Глубокий ауданының Белоусовка а. сумен жабдықтау желілерін  қайта жаңарту</t>
  </si>
  <si>
    <t>Шығыс Қазақстан облысы Глубокое ауданының Березовка а. сумен жабдықтау желілерін  қайта жаңарту</t>
  </si>
  <si>
    <t>Строительство водоприемных сооружений и водопроводной сети а. Туймекент с подключением их к групповому водопроводу а. Ынтымак Байзакского района Жамбылской области</t>
  </si>
  <si>
    <t>Жамбыл облысы Байзақ ауданы Түймекент ауылындағы су қабылдау имарттарын және су құбыры желілерін Ынтымақ топтық су құбырына қосып құрылысын салу</t>
  </si>
  <si>
    <t>Жамбыл облысы Байзақ ауданы Жетібай ауылындағы су қабылдау имарттарын және су құбыры желілерін Ынтымақ топтық су құбырына қосып құрылысын салу</t>
  </si>
  <si>
    <t>Реконструкция систем водоснабжения а.Айша биби Жамбылского района Жамбылской области</t>
  </si>
  <si>
    <t xml:space="preserve">Жамбыл облысы Жамбыл ауданы Тастөбе ауылының  сумен қамтамасыз ету жүйесін қайта жаңғырту» </t>
  </si>
  <si>
    <t>Реконструкция системы водоснабжения с.Беткайнар Кордайского района Жамбылской области</t>
  </si>
  <si>
    <t>Строительство водоприемных сооружении и водопроводных сетей населенных пунктов Кияхты,Мирный Мойынкумского района Жамбылской области</t>
  </si>
  <si>
    <t>Жамбыл облысы Байзақ ауданы Мырзатай ауылдық округі Дихан-2 ауылының су қабылдау имарттары және су құбырлары құрылысын салу</t>
  </si>
  <si>
    <t>Реконструкция системы водоснабжения а.Жалпактобе Жамбылского района Жамбылской области</t>
  </si>
  <si>
    <t>Жамбыл облысы Жамбыл ауданы Жалпактобе ауылының  ауыз сумен қаматамасыз ету жүйесін қайта жаңғарту.</t>
  </si>
  <si>
    <t>БҚО Теректі ауданының Федоров ауылындағы су құбырын қайта құру</t>
  </si>
  <si>
    <t>Реконструкция водопровода в с.Жанаказан Жангалинского района ЗКО</t>
  </si>
  <si>
    <t>Реконструкция системы водоснабжения с.Таловка Жанибекского района ЗКО</t>
  </si>
  <si>
    <t>Реконструкция водопровода райцентра с.Жымпиты Сырымского района ЗКО</t>
  </si>
  <si>
    <t>БҚО Сырым ауданы Жымпиты ауылының су құбырын қайта жаңарту</t>
  </si>
  <si>
    <t>водоснабажение</t>
  </si>
  <si>
    <t xml:space="preserve">Водоснабжение  </t>
  </si>
  <si>
    <t>Реконструкция разводящей сети водопровода п. Сарыколь Сарыкольского района Костанайской области (2 очередь)</t>
  </si>
  <si>
    <t>Қостанай облысы Сарыкөл ауданы Сарыкөл кентінде су құбырының ауыстырушы желілерін қайта құрылымдау (2 кезек)</t>
  </si>
  <si>
    <t>Реконструкция разводящих сетей водопровода в селе Федоровка Федоровского района Костанайской области. 2-очередь корректировка</t>
  </si>
  <si>
    <t xml:space="preserve">Реконструкция существующего водопровода для обеспечения питьевой водой жителей села Большая Чураковка Алтынсаринского района  </t>
  </si>
  <si>
    <t>Реконструкция разводящей сети от насосной 2-го подъема по поселку Тобол Тарановского района Костанайской области (корректировка)</t>
  </si>
  <si>
    <t>Реконструкция системы водоснабжения из месторождения подземных вод с.Буревестник Наурзумского района Костанайской области</t>
  </si>
  <si>
    <t>Қостанай облысы Наурзым ауданы Буревестник селосының жер асты кен орындарынын сумен жабдықтау желілерін қайта құрылымдау</t>
  </si>
  <si>
    <t>Реконструкция  системы водоснабжения н.п.Аксу Жалагашского района Кызылординской области</t>
  </si>
  <si>
    <t>Қызылорда облысы Жалағаш ауданы Ақсу елді мекенінің сумен қамту жүйесін қайта жаңғырту</t>
  </si>
  <si>
    <t>Реконструкция систем водоснабжения в н.п. Махамбет аульного округа Аксуат города Кызылорда</t>
  </si>
  <si>
    <t>Қызылорда қаласы Ақсуат ауылдық округы Махамбет елді мекеніндегі сумен қамту жүйелерін қайта жаңғырту</t>
  </si>
  <si>
    <t>Бейнеу селосындағы кентішілік су құбыры құрылысы. 3 телім</t>
  </si>
  <si>
    <t>Реконструкция водопровода в селе Иртышск Иртышского района Павлодарской области</t>
  </si>
  <si>
    <t>Павлодар облысы, Ертіс ауданы, Ертіс ауылының су құбырын қайта құралымдау</t>
  </si>
  <si>
    <t>Жолқұдық с. Су құбырын қайта құру және есепке алу құралдарды орнатумен су өткізетін желісін тұтынушылар учаскілерінің тікелей шекараларына жеткізу</t>
  </si>
  <si>
    <t>"Солтүстік Қазақстан облысы Аққайың ауданының Ивановка селосында Булаев топтық су құбырына қосылған селолық елді мекендердін таратушы желілерін, су тартқыштарын және су ағызғыларын қайта жаңарту"</t>
  </si>
  <si>
    <t>"Солтүстік Қазақстан облысы Аққайың ауданының Ленинск селосында Булаев топтық су құбырына қосылған селолық елді мекендердін таратушы желілерін, су тартқыштарын және су ағызғыларын қайта жаңарту"</t>
  </si>
  <si>
    <t>"Солтүстік Қазақстан облысы Аққайың ауданының Черкасск селосында Булаев топтық су құбырына қосылған селолық елді мекендердін таратушы желілерін, су тартқыштарын және су ағызғыларын қайта жаңарту"</t>
  </si>
  <si>
    <t>"Солтүстік Қазақстан облысы Қызылжар ауданының Асаново селосында Булаев топтық су құбырына қосылған селолық елді мекендердің таратушы желілерін, су тартқыштарын және су ағызғыларын қайта жаңгырту"</t>
  </si>
  <si>
    <t>"Булаев топтық су құбырына қосылған ауылдық елді мекендердің су тартқыштары мен бұрмаларын, тарату желілерін қайта жаңарту. Солтүстік Қазақстан облысының Ақжар ауданы Ленинградский ауылы"</t>
  </si>
  <si>
    <t>"Булаев топтық су құбырына қосылған ауылдық елді мекендердің су тартқыштары мен бұрмаларын, тарату желілерін қайта жаңарту. Солтүстік Қазақстан облысының Тайынша ауданы Ақ-Құдық ауылы"</t>
  </si>
  <si>
    <t>Сумма без ПИР и ГЭ</t>
  </si>
  <si>
    <t>2015</t>
  </si>
  <si>
    <t>Строительство линии подводки водопровода для жилых домов в н.п. С. Сейфуллина Сырдарьинского района Кызылординской области</t>
  </si>
  <si>
    <t>Реконструкция водопроводных сетей  с. Кызыл-Кесик Тарбагатайского  района ВКО</t>
  </si>
  <si>
    <t>№ 18-1021/12 от 29.11.2012г</t>
  </si>
  <si>
    <t>№630 от 21.12.2012г</t>
  </si>
  <si>
    <t>№25-06-25/4913/3319 от 27.12.12г</t>
  </si>
  <si>
    <t>№03/Н от 24.01.13г</t>
  </si>
  <si>
    <t>Алматы облысы Еңбекшіқазақ ауданының Нұра ауылындағы сумен жабдықтау жүйелерінің құрылысы және қайта жаңғырту</t>
  </si>
  <si>
    <t>Алматы облысы Еңбекшіқазақ ауданының Түрген  ауылындағы сумен жабдықтау жүйелерінің құрылысы және қайта жаңғырту</t>
  </si>
  <si>
    <t>№ 18-0917/13 от 23.12.13г</t>
  </si>
  <si>
    <t>№46-Н от 04.02.14г</t>
  </si>
  <si>
    <t>№26-26/120 от 22.01.14г</t>
  </si>
  <si>
    <t>№553 от 04.11.13г</t>
  </si>
  <si>
    <t>№13-0250/11 от 27.12.2011г</t>
  </si>
  <si>
    <t>№22 от 25.12.2010г</t>
  </si>
  <si>
    <t>№13-0116/13 от 17.07.2013г</t>
  </si>
  <si>
    <t>№04-15/1097 от 11.07.2012г</t>
  </si>
  <si>
    <t>№45 от 21.08.2013г</t>
  </si>
  <si>
    <t>Реконструкция разводящих сетей водопровода с.Железнодорожное Карасуского района Костанайской области</t>
  </si>
  <si>
    <t>№ 13-0083/13 от 31.05.2013г</t>
  </si>
  <si>
    <t>№33 от 07.08.2013г</t>
  </si>
  <si>
    <t>№17 от 28.02.2013г</t>
  </si>
  <si>
    <t>№978 от 05.05.2012г</t>
  </si>
  <si>
    <t>№03-1899 от 08.08.2013г</t>
  </si>
  <si>
    <t>№04-15/966 от 03.08.2011г</t>
  </si>
  <si>
    <t>№13-0121/13 от 29.07.2013г</t>
  </si>
  <si>
    <t>Қостанай облысы Қарасу ауданы Октябрьское селосының таратушы су құбыры желісін қайта құрылымдау</t>
  </si>
  <si>
    <t>№18 от 28.02.2013г</t>
  </si>
  <si>
    <t>№977 от 05.05.2012г</t>
  </si>
  <si>
    <t>№35 от 13.08.2013г</t>
  </si>
  <si>
    <t>№04-15/962 от 03.08.2011г</t>
  </si>
  <si>
    <t>№03-1996от 21.08.2013г</t>
  </si>
  <si>
    <t>№10-0600/13 от 24.12.2013г</t>
  </si>
  <si>
    <t>Реконструкция разводящих сетей водопровода с.Жамбыл Карасуского района Костанайской области</t>
  </si>
  <si>
    <t>Қостанай облысы Қарасу ауданының Жамбыл селосындағы су құбырларының тарату тарабын қайта құрылымдау</t>
  </si>
  <si>
    <t>№27 от 10.07.2013г</t>
  </si>
  <si>
    <t>№2572 от 25.12.2013г</t>
  </si>
  <si>
    <t>№03-236 от 30.01.2014г</t>
  </si>
  <si>
    <t>№04-13/191 от 07.02.2014г</t>
  </si>
  <si>
    <t>№3 от 16.01.2014г</t>
  </si>
  <si>
    <t>№13-0145/12 от 30.07.2012г</t>
  </si>
  <si>
    <t>Қостанай облысы Қарасу ауданы Қарасу ауылында таратушы су құбыры желілерінің қайта құрылымдау</t>
  </si>
  <si>
    <t>№7 от 31.01.2013г</t>
  </si>
  <si>
    <t>№04-15/965 от 03.08.2011г</t>
  </si>
  <si>
    <t>№15 от 25.02.2013г</t>
  </si>
  <si>
    <t>№_ от 15.02.2012г</t>
  </si>
  <si>
    <t>№12 от 12.09.2012г</t>
  </si>
  <si>
    <t>№16-0707/11 от 15.12.2011г</t>
  </si>
  <si>
    <t>№13-0367/12 от 21.12.2012г</t>
  </si>
  <si>
    <t>№02-03-155/А-2617 от 23.01.2012г</t>
  </si>
  <si>
    <t>№75 от 24,10,2011г</t>
  </si>
  <si>
    <t>№20 от 29.12.2012г</t>
  </si>
  <si>
    <t>№04-15/964 от 03.08.2011г</t>
  </si>
  <si>
    <t>№13-0048/12 от 30.03.2012г</t>
  </si>
  <si>
    <t>Ұзынкөл -Воскресенов-Новопокров ауылдарында Ишим топтық су құбырын қайта құрылымдау</t>
  </si>
  <si>
    <t>№1 от 20.12.2011г</t>
  </si>
  <si>
    <t>№02-03-559/А-2595 от 07.03.2012</t>
  </si>
  <si>
    <t>№4 от 30.01.2013г</t>
  </si>
  <si>
    <t>№6 от 04.04.2012г</t>
  </si>
  <si>
    <t>№13-0152/12 от 31.07.2012г</t>
  </si>
  <si>
    <t>№74 от 24.10.2011г</t>
  </si>
  <si>
    <t>№02-03-162/А-2602 от 24.01.2012г</t>
  </si>
  <si>
    <t>№12 от 06.08.2012г</t>
  </si>
  <si>
    <t>№03-391 от 04.02.2014г</t>
  </si>
  <si>
    <t>№04-15/961 от 03.08.2011г</t>
  </si>
  <si>
    <t>№13-0264/12 от 15.11.2012г</t>
  </si>
  <si>
    <t>№130 от 29.12.2012г</t>
  </si>
  <si>
    <t>№233 от 16.11.2012г</t>
  </si>
  <si>
    <t>№2149 от 13.11.2012г</t>
  </si>
  <si>
    <t>№18-0186/13 от 09.04.2013г</t>
  </si>
  <si>
    <t>№297-н от 11.09.2013г</t>
  </si>
  <si>
    <t>№25-06-25/760/562 от 28.02.2013г</t>
  </si>
  <si>
    <t>№082 от 19.02.2013г</t>
  </si>
  <si>
    <t>№26-26/1911 от 11.09.2013г</t>
  </si>
  <si>
    <t>№18-0098/11 от 28.02.2011г</t>
  </si>
  <si>
    <t>№06-11/1993 от 06.05.2011г</t>
  </si>
  <si>
    <t>переоценка запасов провелдена в 2012 комгео,будут утверждены в июне 2013г</t>
  </si>
  <si>
    <t>Реконструкция и строительство системы водоснабжения с.Тургень  Енбекшиказахского района Алматинской области (2 очередь)</t>
  </si>
  <si>
    <t>№18-0688/13 от 17.10.2013г</t>
  </si>
  <si>
    <t>не требуется</t>
  </si>
  <si>
    <t>№328/н от 13.11.2013г</t>
  </si>
  <si>
    <t>№26-26/129 от 22.01.2014г</t>
  </si>
  <si>
    <t xml:space="preserve">Реконструкция и строительство системы водоснабжения с.Ынтымак Илийского района Алматинской области </t>
  </si>
  <si>
    <t>Алматы облысы Іле ауданының Ынтымақ ауылындағы сумен жабдықтау жүйелерінің құрылысы және қайта жаңғырту</t>
  </si>
  <si>
    <t>№18-0077/13 от 20.02.2013г</t>
  </si>
  <si>
    <t>№138/н от 14.03.2013г</t>
  </si>
  <si>
    <t>№26-26/484 от 14.03.2013г</t>
  </si>
  <si>
    <t>№25-06-25/5024/98 от 11.01.2013г</t>
  </si>
  <si>
    <t>Реконструкция и строительство системы водоснабжения села Акжар  Карасайского района Алматинской области</t>
  </si>
  <si>
    <t>Алматы облысы Қарасай ауданының Ақжар ауылындағы сумен жабдықтау жүйелерінің құрылысы және қайта жаңғырту</t>
  </si>
  <si>
    <t>№18-0119/13 от 11.03.2013г</t>
  </si>
  <si>
    <t>№356-н от 06.12.2013г</t>
  </si>
  <si>
    <t>№161 от 26.03.2013г</t>
  </si>
  <si>
    <t>25-06-25-06/4935/6 от 03.01.2013г</t>
  </si>
  <si>
    <t>Алматы облысы Қарасай ауданының Қарасай ауданының Жандосов ауылындағы сумен жабдықтау жүйелерінің құрылысы және қайта жаңғырту</t>
  </si>
  <si>
    <t>№18-0629/13 от 30.09.2013г</t>
  </si>
  <si>
    <t>№340/н от 14.11.2013г</t>
  </si>
  <si>
    <t>№03-08/2723 от 14.07.09</t>
  </si>
  <si>
    <t>№25 от 26.09.2011г</t>
  </si>
  <si>
    <t>Реконструкция и строительство системы водоснабжения с. Амангельды Коксуского района Алматинской области</t>
  </si>
  <si>
    <t>Алматы облысы Көксу ауданының Амангелді ауылындағы сумен жабдықтау жүйелерінің құрылысы және қайта жаңғырту</t>
  </si>
  <si>
    <t>№18-0321/13 от 27.05.2013г</t>
  </si>
  <si>
    <t>№10/н от 22.01.2014г</t>
  </si>
  <si>
    <t>№185 от 04.04.2013г</t>
  </si>
  <si>
    <t>№25-06-25/1829/1244 от 03.05.2013г</t>
  </si>
  <si>
    <t>№05-19 от 27.01.2014г</t>
  </si>
  <si>
    <t>всего:</t>
  </si>
  <si>
    <t>Алматы облысы Панфилов ауданының Пинжим ауылындағы сумен жабдықтау жүйесінің құрылысы және қайта жаңғырту</t>
  </si>
  <si>
    <t>Реконструкция и строительство систем водоснабжения с. Пинджим Панфиловского района Алматинской области</t>
  </si>
  <si>
    <t>№18-0997/13 от 31.12.2013г</t>
  </si>
  <si>
    <t>№49/н от 04.02.2014г</t>
  </si>
  <si>
    <t>№656 от 18.12.2013г</t>
  </si>
  <si>
    <t>№25-06-25/6140/25 от 09.01.2013г</t>
  </si>
  <si>
    <t>№2800 от 24.12.2013г</t>
  </si>
  <si>
    <t>Алматы облысы Райымбек ауданының Қарасаз ауылындағы сумен жабдықтау жүйелерінің құрылысы және қайта жаңғырту</t>
  </si>
  <si>
    <t>№18-1009/12 от 28.11.2012г</t>
  </si>
  <si>
    <t>№25 от 20.05.2013г</t>
  </si>
  <si>
    <t>№561 от 21.11.2012г</t>
  </si>
  <si>
    <t>№25-06-25/4634/3227 от 19.12.2012г</t>
  </si>
  <si>
    <t>Реконструкция и строительство систем водоснабжения села Каратоган Райымбекского района Алматинской области</t>
  </si>
  <si>
    <t>Алматы облысы Райымбек ауданының Қаратоған аулындағы сумен жабдықтау жүйесінің құрылысы және қайта жаңғырту</t>
  </si>
  <si>
    <t>№18-0817/13 от 28.11.2013г</t>
  </si>
  <si>
    <t>№15/н от 22.01.2014г</t>
  </si>
  <si>
    <t>Реконструкция и строительство систем водоснабжения села Алгабас Райымбекского района Алматинской области</t>
  </si>
  <si>
    <t>№18-0810/13 от 28.11.2013г</t>
  </si>
  <si>
    <t>Алматы облысы Райымбек ауданының Алғабас аулындағы сумен жабдықтау жүйесінің құрылысы және қайта жаңғырту</t>
  </si>
  <si>
    <t>№11/н от 22.01.2014г</t>
  </si>
  <si>
    <t>№80 от 03.07.2013г</t>
  </si>
  <si>
    <t>Алматы облысы Райымбек ауданының Талас ауылындағы сумен жабдықтау жүйесінің құрылысы және қайта жаңғырту</t>
  </si>
  <si>
    <t>№18-0064/14 от 28.01.2014г</t>
  </si>
  <si>
    <t>№48-н от 04.02.2014г</t>
  </si>
  <si>
    <t>№25-06-25/5173/3756 от 18.11.2013г</t>
  </si>
  <si>
    <t>№124 от 01.11.2012г</t>
  </si>
  <si>
    <t>Алматы облысындағы Талғар топталған сутартқышының құрылысы және қайта жаңғырту. (2 кезең) Талғар топталған сутартқышына 12 ауылдық тұрғын мекендерін қосу (ІІ қосылу кешені) Алмалық, Аманкелді,Байбұлақ ауылдары</t>
  </si>
  <si>
    <t>№18-0619/12 от 27.07.2012г</t>
  </si>
  <si>
    <t>№41 от 12.03.2013г</t>
  </si>
  <si>
    <t>№25-06-25/1861/1345 от 01.06.2012г</t>
  </si>
  <si>
    <t>№02/3-178 от 27.04.2012г</t>
  </si>
  <si>
    <t>Алматы облысындағы Талғат топталған сутартқышының құрылысы және қайта жаңғырту (2-ші кезең).Талғар топталған сутартқышына 12 ауылдық елді мекендерді қосу (IV қосылу кешені) Қызылқайрат ауылы</t>
  </si>
  <si>
    <t>№19-01-05/221 от 20.06.2012г</t>
  </si>
  <si>
    <t>№19-4/1 от 06.03.2013г</t>
  </si>
  <si>
    <t>№05-14 от 27.01.2014г</t>
  </si>
  <si>
    <t>№04-08/559 от 14.02.2012г</t>
  </si>
  <si>
    <t>Реконструкция и строительство Талгарского группового водовода Алматинской оласти (2 этап). Подключение 12-ти сельских населенных пунктов к Талгарскому групповому водоводу. (VI пусковой комплекс) с. Бесагаш (восточная часть), с. Туздыбастау (м/р "Айсулу", "Туздыбастау")</t>
  </si>
  <si>
    <t>Алматы облысындағы Талғар топталған сутартқышының құрылысы және қайта жаңғырту (2 кезең).Талғар топтылық сутартқышына 12 ауылдық тұрғын мекендерін қосу (VI қосылу кешені) Бесағаш ауылы (шығыс бөлігі), Тұздыбастау ауылы ("Айсұлу","Тұздыбастау" ықшам аудандыры)</t>
  </si>
  <si>
    <t>№18-0172/13 от 29.03.2013г</t>
  </si>
  <si>
    <t>№99 от 22.04.2013г</t>
  </si>
  <si>
    <t>№25-06-25/4091/2891 от 13.11.2012г</t>
  </si>
  <si>
    <t>Реконструкция и строительство системы водоснабжения с.Еркин Талгарского района Алматинской области</t>
  </si>
  <si>
    <t>Алматы облысы Талғар ауданының Еркін ауылындағы сумен жабдықтау жүйесінің құрылысы және қайта жаңғырту</t>
  </si>
  <si>
    <t>№18-0953/13 от 27.12.2013г</t>
  </si>
  <si>
    <t>№47-н от 04.02.2014г</t>
  </si>
  <si>
    <t>№96 от 17.02.2014г</t>
  </si>
  <si>
    <t>№2736 от 03.09.2013г</t>
  </si>
  <si>
    <t>Реконструкция и строительство системы водоснабжения с. Чарын Уйгурского района Алматинской области</t>
  </si>
  <si>
    <t>Алматы облысы Ұйғыр ауданының Шарын ауылындағы сумен жабдықтау жүйелерінің құрылысы және қайта жаңғырту</t>
  </si>
  <si>
    <t>№18-0147/13 от 25.03.2013г</t>
  </si>
  <si>
    <t>б/н от 11.09.2013г</t>
  </si>
  <si>
    <t>№26-26/1911 от 11.11.2013г</t>
  </si>
  <si>
    <t>№281 от 27.05.2013г</t>
  </si>
  <si>
    <t>Реконструкция водопроводных сетей с.Петровка Бухар-Жырауского района</t>
  </si>
  <si>
    <t>Строительство и реконструкция системы канализации с.Жастар Ескельдинского района  Алматинской области</t>
  </si>
  <si>
    <t>Алматы облысы Ескелді ауданының Жастар ауылындағы канализация жүйелерінің құрылысы және жаңғырту</t>
  </si>
  <si>
    <t>№18-0369/13 от 20.06.2013г</t>
  </si>
  <si>
    <t>№234/н от 06.06.2013г</t>
  </si>
  <si>
    <t>№25-06-25/1222/843 от 01.04.2013г</t>
  </si>
  <si>
    <t>№134 от 13.03.2013г</t>
  </si>
  <si>
    <t>Реконструкция и строительство канализационных сетей с.Каракемир Енбекшиказахского района  Алматинской области</t>
  </si>
  <si>
    <t>Алматы облысы Еңбекшіқазақ ауданының Қаракемер ауылындағы кәріз жүйелерінің құрылысы және қайта жаңғырту</t>
  </si>
  <si>
    <t>№18-0656/13 от 04.10.2013г</t>
  </si>
  <si>
    <t>№341/н от 13.11.2013г</t>
  </si>
  <si>
    <t>№26-26/129 от 11.01.2014г</t>
  </si>
  <si>
    <t>Реконструкция и строительство канализационных сетей с.Шелек Енбекшиказахского района  Алматинской области</t>
  </si>
  <si>
    <t>Алматы облысы Енбекшіқазақ ауданының Шелек ауылындағы кәріз жүйесінің құрылысы және қайта жаңғырту</t>
  </si>
  <si>
    <t>№18-0023/14 от 17.01.2014г</t>
  </si>
  <si>
    <t>№51-н от 12.02.2014г</t>
  </si>
  <si>
    <t>№25-06-25/3627/2567 от 19.08.2013г</t>
  </si>
  <si>
    <t>№417 от 09.08.2013г</t>
  </si>
  <si>
    <t>Алматы облысы Іле ауданының Покровка ауылындағы сумен жабдықтау жүйелерінің құрылысы және қайта жаңғырту</t>
  </si>
  <si>
    <t>№18-0031/13 от 23.01.2013г</t>
  </si>
  <si>
    <t>№135/н от 14.03.2013г</t>
  </si>
  <si>
    <t>№25-06-25/4625/3213 от 14.12.2012г</t>
  </si>
  <si>
    <t xml:space="preserve">Реконструкция водопроводных сетей в п.Киевка Нуринского района Карагандинской области </t>
  </si>
  <si>
    <t>№10-0637-11 от 12.12.2011г</t>
  </si>
  <si>
    <t>№5-8-446 от 16.02.2012г</t>
  </si>
  <si>
    <t>№5-22-120 от 10.02.2012г</t>
  </si>
  <si>
    <t>№16 от 09.02.2012г</t>
  </si>
  <si>
    <t>№10-0555/13 от 28.11.2013г</t>
  </si>
  <si>
    <t>№7-6/286 от 12.02.2014г</t>
  </si>
  <si>
    <t>№17-7/17 от 11.02.2014г</t>
  </si>
  <si>
    <t>№10-0618/12 от 16.11.2012г</t>
  </si>
  <si>
    <t>№5-22/732 от 19.10.2012г</t>
  </si>
  <si>
    <t>Бұқар-Жырау ауданының Петровка ауылының су құбырларының тораптарын қайта құралымдау</t>
  </si>
  <si>
    <t>№4-Н от 09.12.2013г</t>
  </si>
  <si>
    <t>Қарағанды облысы Нұра ауданының Киевка кентінің су құбырлары желілерінің қайта құрылымдау</t>
  </si>
  <si>
    <t>№189/ө от 20.11.2012г</t>
  </si>
  <si>
    <t>Бұқар жырау ауданы Дубовка ауылындағы су бұру жүйесін қайта құрылымдау</t>
  </si>
  <si>
    <t>№ ЮЛУ-00941/0 от 04.10.2012г</t>
  </si>
  <si>
    <t>№296-н от 11.09.2013г</t>
  </si>
  <si>
    <t>№25-06-25/2059/2135 от 12.07.2013г</t>
  </si>
  <si>
    <t>№05-16 от 27.01.2014г</t>
  </si>
  <si>
    <t>№05-8 от 27.01.2014г</t>
  </si>
  <si>
    <t>№05-20от 27.01.2014г</t>
  </si>
  <si>
    <t>№05-18 от 27.01.2014г</t>
  </si>
  <si>
    <t>№30-30/573/4 от 27.05.2013г</t>
  </si>
  <si>
    <t>№05-10 от 27.01.2014г</t>
  </si>
  <si>
    <t>№05-7 от 27.01.2014г</t>
  </si>
  <si>
    <t>№25-06-25/2960/2145 от 12.07.2013г</t>
  </si>
  <si>
    <t>Акмолинская область- 10%</t>
  </si>
  <si>
    <t>Актюбинская область-20%</t>
  </si>
  <si>
    <t>Атырауская область-30%</t>
  </si>
  <si>
    <t>Восточно-Казахстанская область -10%</t>
  </si>
  <si>
    <t>Жамбылская область -10%</t>
  </si>
  <si>
    <t>Западно-Казахстанская область -20%</t>
  </si>
  <si>
    <t>Карагандинская область -20%</t>
  </si>
  <si>
    <t>Кызылординская область -10%</t>
  </si>
  <si>
    <t>Мангистауская область -30%</t>
  </si>
  <si>
    <t>Павлодарская область-20%</t>
  </si>
  <si>
    <t>Северо-Казахстанская область -10%</t>
  </si>
  <si>
    <t xml:space="preserve">Южно-Казахстанская область-10% </t>
  </si>
  <si>
    <t>Реконструкция и строительство системы водоснабжения села Шаган Кербулакского  района Алматинской области корректировка</t>
  </si>
  <si>
    <t>Реконструкция сетей канализации села Мойылды</t>
  </si>
  <si>
    <t>Реконструкция системы канализации села Коктобе Майского района</t>
  </si>
  <si>
    <t>Пограничник с. Су құбырын қайта құру және есепке алу құралдарды орнатумен су өткізетін желісін тұтынушылар учаскілерінін тікелеі шекараларына жеткізу</t>
  </si>
  <si>
    <t>№16-0981/12от 14.12.2012г</t>
  </si>
  <si>
    <t>№1-06/86-1 от 14.12.2012г</t>
  </si>
  <si>
    <t>№1-1-39/290 от 21.09.2012г</t>
  </si>
  <si>
    <t>№12/1-15/юл-м-676 от 2.10.2012г</t>
  </si>
  <si>
    <t>№16/11-08/225 от 24.01.2013г</t>
  </si>
  <si>
    <t>№16-0980/12 от 14.12.2012г</t>
  </si>
  <si>
    <t>№12/1-15/юл-м-675 от 2.10.2012г</t>
  </si>
  <si>
    <t>№1-1-39/291 от 21.09.2012г</t>
  </si>
  <si>
    <t>№1-06/85-1 от 14.12.2012г</t>
  </si>
  <si>
    <t>Мойылды ауылының кәріз желілерінің қайта құралымдау</t>
  </si>
  <si>
    <t>№16-0789/13 от 30.10.2013г</t>
  </si>
  <si>
    <t>№22-15/249 от 12.03.2013г</t>
  </si>
  <si>
    <t>№61 от 13.11.2013г</t>
  </si>
  <si>
    <t>Железинка ауданының Железинка ауылының кәріздік желілерінің жаңарту</t>
  </si>
  <si>
    <t>№12/1-15/юл-11-998 от 24.12.2012г</t>
  </si>
  <si>
    <t>№7.1-09/108 от 14.12.2012г</t>
  </si>
  <si>
    <t>№11 от 03.03.2014г</t>
  </si>
  <si>
    <t>№2-14/177 от 03.03.2014г</t>
  </si>
  <si>
    <t>№16-0021/14 от 24.01.2014г</t>
  </si>
  <si>
    <t>Май ауданы Көктөбе ауылындағы кәріз жүйесін қайта құралымдау</t>
  </si>
  <si>
    <t>№16-0618/13 от 21.08.2013г</t>
  </si>
  <si>
    <t>№12/1-15/юл-б-914 от 14.12.2012г</t>
  </si>
  <si>
    <t>№52 от 23.11.2012г</t>
  </si>
  <si>
    <t>№62 от 13.11.2013г</t>
  </si>
  <si>
    <t>№2-14/174 от 03.03.2014г</t>
  </si>
  <si>
    <t>№03.10-03-06-249 от 06.02.2012г</t>
  </si>
  <si>
    <t>СҚО Уәлиханов ауданының чехово с.-Кішкенекөл с. Су таратқышын қайта жаңарту</t>
  </si>
  <si>
    <t>№03.02/03-14-305-1 от 02.04.2013г</t>
  </si>
  <si>
    <t>№17-0532/12 от 27.09.2012г</t>
  </si>
  <si>
    <t>№208-н от 18.10.2012г</t>
  </si>
  <si>
    <t>№30-04-10/768 от 09.08.2012г</t>
  </si>
  <si>
    <t>№03.10-03-16-2069 от 07.09.2012г</t>
  </si>
  <si>
    <t>№17-0562/12 от 11.10.2012г</t>
  </si>
  <si>
    <t>№67 от 21.12.2012г</t>
  </si>
  <si>
    <t>№07-16-576-377 от 31.07.2012г</t>
  </si>
  <si>
    <t>№03.10-03-07-143 от 25.01.2012г</t>
  </si>
  <si>
    <t>№17-0557/12 от 09.10.2012г</t>
  </si>
  <si>
    <t>№17-0561/12 от 11.10.2012г</t>
  </si>
  <si>
    <t>№03.02/03-14-305-1 от 2.04.2013г</t>
  </si>
  <si>
    <t>№68 от 21.12.2012г</t>
  </si>
  <si>
    <t>№17-0527/12 от 24.09.2012г</t>
  </si>
  <si>
    <t>"Солтүстік Қазақстан облысы Аққайың ауданының Рублевка селосында Булаев топтық су құбырына қосылған селолық елді мекендердің таратушы желілерін, су тартқыштарын және су ағызғыларын қайта жаңарту"</t>
  </si>
  <si>
    <t>№5 от 12.03.2013г</t>
  </si>
  <si>
    <t>Солтүстік Қазақстан облысы Аққайын ауданының Астраханка селосында Булаев топтық су құбырына қосылған селолық елді мекендердің таратушы желілерінің, су тартқыштарын және су ағызғыларын қайта жаңарту</t>
  </si>
  <si>
    <t>№17-0447/12 от 09.08.2012г</t>
  </si>
  <si>
    <t>№65 от 08.11.2012г</t>
  </si>
  <si>
    <t>№07-16-443-275 от 06.06.2012г</t>
  </si>
  <si>
    <t>Солтүстік Қазақстан облысы М.Жұмабаев ауданының Бәйтерек ауылында Булаев топтық су құбырына қосылған селолық елді мекендердің таратушы желілерінің, су тартқыштарын және су ағызғыларын қайта жаңарту</t>
  </si>
  <si>
    <t>№17-0152/12 от 30.03.2012г</t>
  </si>
  <si>
    <t>№01-04/2 от 25.01.2013г</t>
  </si>
  <si>
    <t>№07-16/879-292 от 21.12.2011г</t>
  </si>
  <si>
    <t>№17-0181/12 от 18.04.2012г</t>
  </si>
  <si>
    <t>№01-04/3 от 25.01.2013г</t>
  </si>
  <si>
    <t>№03.10-03-12-630 от 2.04.2012г</t>
  </si>
  <si>
    <t>Солтүстік Қазақстан облысы М.Жұмабаев ауданының Успенка селосында Булаев топтық су құбырына қосылған селолық елді мекендердің таратушы желілерін, су тартқыштарын және су ағызғыларын қайта жаңарту</t>
  </si>
  <si>
    <t>№03,02/03-14-305-1 от 02.04.2013г</t>
  </si>
  <si>
    <t>№01-03/7 от 07.02.2013г</t>
  </si>
  <si>
    <t>№07-16/325-189 от 10.04.2012г</t>
  </si>
  <si>
    <t>Солтүстік Қазақстан облысы М.Жұмабаев ауданының Лебяжье селосында Булаев топтық су құбырына қосылған селолық елді мекендердің таратушы желілерін, су тартқыштарын және су ағызғыларын қайта жаңарту</t>
  </si>
  <si>
    <t>№17-0182/12 от 18.04.2012г</t>
  </si>
  <si>
    <t>№01-03/12 от 18.03.2013г</t>
  </si>
  <si>
    <t>№03.10-03-12-630 от 02.04.2012г</t>
  </si>
  <si>
    <t xml:space="preserve">Солтүстік Қазақстан облысы Қызылжар ауданының Бугровое селосында Булаев топтық су құбырына қосылған селолық елді мекендердің таратушы желілерінің, су тартқыштарын және су ағызғыларын қайта жаңарту </t>
  </si>
  <si>
    <t>№17-0172/12 от 12.04.2012г</t>
  </si>
  <si>
    <t>№16-ОД от 30.01.2013г</t>
  </si>
  <si>
    <t>№07-16/879-292 от 12.12.2011г</t>
  </si>
  <si>
    <t>№03.10-03/2776 от 09.11.2011г</t>
  </si>
  <si>
    <t>№17-0168/12 от 11.04.2012г</t>
  </si>
  <si>
    <t>№17-ОД от 30.01.2013г</t>
  </si>
  <si>
    <t>"Солтүстік Қазақстан облысы Қызылжар ауданының Знаменск селосында Булаев топтық су құбырына қосылған селолық елді мекендердің таратушы желілерін, су тартқыштарын және су ағызғыларын қайта жаңарту"</t>
  </si>
  <si>
    <t>№17-0368/12 от 2.07.2012г</t>
  </si>
  <si>
    <t>№19-ОД от 30.01.2013г</t>
  </si>
  <si>
    <t>№07-16/343-202 от 13.04.2012г</t>
  </si>
  <si>
    <t>№17-0348/12 от 26.06.2012г</t>
  </si>
  <si>
    <t>Солтүстік Қазақстан облысы Қызылжар ауданы Новоникольск селолық округінің Новоникольск селосында Булаев топтық су құбырына қосылған елді мекендердің таратушы желілерінің, су тартқыштарын және су ағызғыларын қайта жаңарту</t>
  </si>
  <si>
    <t>№26-ОД от 06.03.2013г</t>
  </si>
  <si>
    <t>№01-845/12 от 13.12.2012г</t>
  </si>
  <si>
    <t>№98-а от 13.12.2012г</t>
  </si>
  <si>
    <t>№07-16/326-190 от 10.04.2012г</t>
  </si>
  <si>
    <t>№01-759/12 от 20.11.2012г</t>
  </si>
  <si>
    <t>№137 а-о от 20.11.2012г</t>
  </si>
  <si>
    <t>№07-16/327-191 от 10.04.2012г</t>
  </si>
  <si>
    <t>№03.10-03-14-248 от 06.02.2012г</t>
  </si>
  <si>
    <t>Солтүстік Қазақстан облысы Аққайын ауданының Трудовое селосында Булаев топтық су құбырына қосылған селолық елді мекендердің таратушы желілерінін, су тартқыштарын және су ағызғыларын қайта жаңарту</t>
  </si>
  <si>
    <t>№66 от 05.12.2012г</t>
  </si>
  <si>
    <t xml:space="preserve">Солтүстік Қазақстан облысы Қызылжар ауданының Рассвет селосында Булаев топтық су құбырына қосылған селолық елді мекендердің таратушы желілерінің, су тартқыштарын және су ағызғыларын қайта жаңарту </t>
  </si>
  <si>
    <t>№17-0346/12 от 26.06.2012г</t>
  </si>
  <si>
    <t>№18-ОД от 30.01.2013г</t>
  </si>
  <si>
    <t>Булаев топтық су құбырына қосылған ауылдық елді мекендердің су тарату және су бұру таратушы желілерін қалпына келтіру. Солтүстік Қазақстан облысы Ақжар ауданы Қулыкөл ауылы</t>
  </si>
  <si>
    <t>№03-0164/12 от 29.05.2012г</t>
  </si>
  <si>
    <t>№03.02/03-14-305/1 от 2.04.2013г</t>
  </si>
  <si>
    <t>№40-а от 29.05.2012г</t>
  </si>
  <si>
    <t>№07-16/250-139 от 20.03.2012г</t>
  </si>
  <si>
    <t>Булаев топтық су құбырына қосылған ауылдық елді мекендердің су тарату және су бұру таратушы желілерін қалпына келтіру. Солтүстік Қазақстан облысы Ақжар ауданы Дәуіт  ауылы</t>
  </si>
  <si>
    <t>№03-0139/12 от 17.05.2012г</t>
  </si>
  <si>
    <t>№39-А от 17.05.2012г</t>
  </si>
  <si>
    <t>Булаев топтық су құбырына қосылған ауылдық елді мекендердің су таратқыштары мен бұрмаларын, тарату желілерін қайта жаңарту. Солтүстік Қазақстан облысы Тайынша ауданы Киров  ауылы</t>
  </si>
  <si>
    <t>№01-848/12 от 13.12.2012г</t>
  </si>
  <si>
    <t>№07-16/366-221 от 28.04.2012г</t>
  </si>
  <si>
    <t>№01-833/12 от 10.12.2012г</t>
  </si>
  <si>
    <t>Булаев топтық су құбырына қосылған ауылдық елді мекендердің су тарату және су бұру таратушы желілерін қалпына келтіру. Солтүстік Қазақстан облысы Тайыншы ауданы Ильич  ауылы</t>
  </si>
  <si>
    <t>№03-0129/12 от 27.04.2012г</t>
  </si>
  <si>
    <t>№26 а-о от 27.04.2012г</t>
  </si>
  <si>
    <t>№07-16/252-141 от 20.03.2012г</t>
  </si>
  <si>
    <t>Солтүстік Қазақстан облысы М.Жұмабаев ауданының Бастомар селосында Булаев топтық су құбырына қосылған селолық елді мекендердің таратушы желілерінін, су тартқыштарын және су ағызғыларын қайта жаңарту</t>
  </si>
  <si>
    <t>№17-0153/12 от 30.03.2012г</t>
  </si>
  <si>
    <t>№01-03/13 от 18.03.2013г</t>
  </si>
  <si>
    <t>№01-817/12 от 05.12.2012г</t>
  </si>
  <si>
    <t>№96-а от 05.12.2012г</t>
  </si>
  <si>
    <t>№03-0140/12 от 17.05.2012г</t>
  </si>
  <si>
    <t>Булаев топтық су құбырына қосылған ауылдық елді мекендердің су тарату және су бұру таратушы желілерін қалпына келтіру. Солтүстік Қазақстан облысы Ақжар ауданы Киев  ауылы</t>
  </si>
  <si>
    <t>№38-а от 17.05.2012г</t>
  </si>
  <si>
    <t>№07-16/249-138 от 20.03.2012г</t>
  </si>
  <si>
    <t>Булаев топтық су құбырына қосылған ауылдық елді мекендердің су тарату және су бұру таратушы желілерін қалпына келтіру. Солтүстік Қазақстан облысы Ақжар ауданы Казанское  ауылы</t>
  </si>
  <si>
    <t>№03-0154/12 от 24.05.2012г</t>
  </si>
  <si>
    <t>№36-а от 24.05.2012г</t>
  </si>
  <si>
    <t>№03-0152/12 от 24.05.2012г</t>
  </si>
  <si>
    <t>Булаев топтық су құбырына қосылған ауылдық елді мекендердің су тарату және су бұру таратушы желілерін қалпына келтіру. Солтүстік Қазақстан облысы Ақжар ауданы Үлгілі  ауылы</t>
  </si>
  <si>
    <t>№34-а от24.05.2012г</t>
  </si>
  <si>
    <t>№03-0163/12 от 29.05.2012г</t>
  </si>
  <si>
    <t>Булаев топтық су құбырына қосылған ауылдық елді мекендердің су тарату және су бұру таратушы желілерін қалпына келтіру. Солтүстік Қазақстан облысы Ақжар ауданы Кызылту  ауылы</t>
  </si>
  <si>
    <t>№41-а от29.05.2012г</t>
  </si>
  <si>
    <t>№01-844/12 от 13.12.2012г</t>
  </si>
  <si>
    <t>Булаев топтық су құбырына қосылған ауылдық елді мекендердің су таратқыштары мен бұрмаларын, тарату желілерін қайта жаңарту. Солтүстік Қазақстан облысы Тайынша ауданы Чермошнянка ауылы</t>
  </si>
  <si>
    <t>№161-а-о от 13.12.2012г</t>
  </si>
  <si>
    <t>№07-16-431-269 от 04.06.2012г</t>
  </si>
  <si>
    <t>Солтүстік Қазақстан облысы Тимирязев ауданының Докучаев селосында су құбыры құрылыстары алаңшасымен су құбырының таратушыжелілерінің құрылысы</t>
  </si>
  <si>
    <t>№17-0510/13 от 13.12.2013г</t>
  </si>
  <si>
    <t>№27.3-6-97 от 28.01.2014г</t>
  </si>
  <si>
    <t>№1 от 06.01.2014г</t>
  </si>
  <si>
    <t>№22 от 14.08.2013г</t>
  </si>
  <si>
    <t>№03.10-03-15-2548 от 13.09.2013г</t>
  </si>
  <si>
    <t>№17-0445/12 от 09.08.2012г</t>
  </si>
  <si>
    <t>Солтүстік Қазақстан облысы Аққайын ауданының Аралағаш селосында Бұлаев топтық су құбырына қосылған селолық елді мекендердің таратушы желілерінің, су тартқыштарын және су ағызғыларын қайта жаңарту</t>
  </si>
  <si>
    <t>№6 от 12.03.2013г</t>
  </si>
  <si>
    <t>Солтүстік Қазақстан облысы М.Жұмабаев ауданының Конюхово селосында Булаев топтық су құбырына қосылған селолық елді мекендердің таратушы желілерін, су тартқыштарын және су ағызғыларын қайта жаңарту</t>
  </si>
  <si>
    <t>№17-0344/12 от 26.06.2012г</t>
  </si>
  <si>
    <t>№01-03/11 от 18.03.2013г</t>
  </si>
  <si>
    <t>Солтүстік Қазақстан облысы Қызылжар ауданының Надежка селосында Булаев топтық су құбырына қосылған селолық елді мекендердің таратушы желілерін, су тартқыштарын және су ағызғыларын қайта жаңарту</t>
  </si>
  <si>
    <t>№17-0173/12 от 12.04.2012г</t>
  </si>
  <si>
    <t>№03-02/03-14-305-1 от 2.04.2013г</t>
  </si>
  <si>
    <t>№15-од от 30.01.2013г</t>
  </si>
  <si>
    <t>№03.02/02-14-305-1 от 2.04.2013г</t>
  </si>
  <si>
    <t>Бұлаев топтық су құбырына қосылған ауылдық елді мекендердің су тарату және су бұру таратушы желілерін қайта жаңарту.Солтүстік Қазақстан облысы Ақжар ауданы Қарашілік ауылы</t>
  </si>
  <si>
    <t>№64-а от 10.08.2012г</t>
  </si>
  <si>
    <t>№01-846/12 от 13.12.2012г</t>
  </si>
  <si>
    <t>Бұлаев топтық су құбырына қосылған ауылдық елді мекендердің су тартқыштары мен бұрмаларын, тарату желілерін қайта жаңарту.Солтүстік Қазақстан облысының Тайынша ауданы Шұнқыркөл ауылы</t>
  </si>
  <si>
    <t>№161 а-о от 13.12.2012г</t>
  </si>
  <si>
    <t>Солтүстік Қазақстан облысы Аққайын ауданының Добровольское селосында Булаев топтық су құбырына қосылған селолық елді мекендердің таратушы желілерін, су тартқыштарын және су ағызғыларын қайта жаңарту</t>
  </si>
  <si>
    <t>№17-0457/12 от 14.08.2012г</t>
  </si>
  <si>
    <t>№57 от 06.09.2012г</t>
  </si>
  <si>
    <t>Солтүстік Қазақстан облысы М.Жұмабаев ауданының Майбалык селосында Булаев топтық су құбырына қосылған селолық елді мекендердің таратушы желілерін, су тартқыштарын және су ағызғыларын қайта жаңарту</t>
  </si>
  <si>
    <t>№17-0180/12 от 18.04.2012г</t>
  </si>
  <si>
    <t>№01-03/10 от 18.03.2013г</t>
  </si>
  <si>
    <t>№17-16/879-292 от 21.12.2011г</t>
  </si>
  <si>
    <t>№17-0638/11 от 31.10.2011г</t>
  </si>
  <si>
    <t>Солтүстік Қазақстан облысы Қызылжар ауданы Қызылжар ауылдық округінің Подгорное селосында Булаев топтық су құбырына қосылған селолық елді мекендердің су ағызғысының және су тартқышының таратушы желілерінің қайта жаңғырту</t>
  </si>
  <si>
    <t>№29-од от 06.03.2013г</t>
  </si>
  <si>
    <t>№07-16/716-196 от 27.09.2011г</t>
  </si>
  <si>
    <t>№17-0015/12 от 13.01.2012г</t>
  </si>
  <si>
    <t>Солтүстік Қазақстан облысы Қызылжар ауданының Красная горка селосында Булаев топтық су құбырына қосылған селолық елді мекендердің су ағызғысының және су тартқышының таратушы желілерінің қайта жаңарту</t>
  </si>
  <si>
    <t>№24-од от 06.03.2013г</t>
  </si>
  <si>
    <t>№17-0018/12 от 13.01.2012г</t>
  </si>
  <si>
    <t>Солтүстік Қазақстан облысы Қызылжар ауданының Приишимка селосында Булаев топтық су құбырына қосылған селолық елді мекендердің су ағызғысының және су тартқышының таратушы желілерінің қайта жаңарту</t>
  </si>
  <si>
    <t>№25-од от 06.03.2013г</t>
  </si>
  <si>
    <t>Солтүстік Қазақстан облысы Қызылжар ауданының Водопроводное селосында Булаев топтық су құбырына қосылған селолық елді мекендердің су ағызғысының және су тартқышының таратушы желілерінің қайта жаңарту</t>
  </si>
  <si>
    <t>№17-0014/12 от 12.01.2012г</t>
  </si>
  <si>
    <t>№28-од от 06.03.2013г</t>
  </si>
  <si>
    <t>Солтүстік Қазақстан облысы Қызылжар ауданы Светлопольск селолық округінің Новоникольск селосында Булаев топтық су құбырына қосылған селолық елді мекендердің таратушы желілерін, су тартқыштарын және су ағызғыларын қайта жаңарту</t>
  </si>
  <si>
    <t>№17-0367/12 от 02.07.2012г</t>
  </si>
  <si>
    <t>№51-од от 13.08.2013г</t>
  </si>
  <si>
    <t>Булаев топтық су құбырына қосылған ауылдық елді мекендердің су тарту және су бұру таратушы желілерін қайта жаңарту. Солтүстік Қазақстан облысы Тайынша ауданы Кантемировское ауылы</t>
  </si>
  <si>
    <t>№01-554/12 от 27.09.2012г</t>
  </si>
  <si>
    <t>№100 а-о от 1.10.2012г</t>
  </si>
  <si>
    <t xml:space="preserve"> Махамбет ауданы Ақтоғай  селосындағы су тазарту ғимараттарын және су құбырларын  қайта жаңарту</t>
  </si>
  <si>
    <t>№06-0107/12 от 27.03.2012г</t>
  </si>
  <si>
    <t>№06-07/юлс-1560 от 12.10.2011г</t>
  </si>
  <si>
    <t>№12-35/1935 от 18.06.2012г</t>
  </si>
  <si>
    <t>№70-о от 08.06.2012г</t>
  </si>
  <si>
    <t>№1181 от 14.06.2012г</t>
  </si>
  <si>
    <t>ШҚО Бородулиха ауданы Зубаир ауылындағы сумен қамту желілерін қайта жаңғырту</t>
  </si>
  <si>
    <t>№07-0208/13 от 25.11.2013г</t>
  </si>
  <si>
    <t>№106 от 29.11.2013г</t>
  </si>
  <si>
    <t>№96/1870-19-02-04 от 18.07.2013г</t>
  </si>
  <si>
    <t>№06-07/3521 от 23.10.2013г</t>
  </si>
  <si>
    <t>№3686 от 15.12.2013г</t>
  </si>
  <si>
    <t>ШҚО Бородулиха ауданы Зенкова ауылындағы су құбыры желілерін қайта жаңғырту</t>
  </si>
  <si>
    <t>№07-0013/14 от 28.01.2014г</t>
  </si>
  <si>
    <t>№25 от 05.02.2014г</t>
  </si>
  <si>
    <t>№120/2701-19-02-04 от 14.11.2013г</t>
  </si>
  <si>
    <t>№06-07/4783 от 20.12.2013г</t>
  </si>
  <si>
    <t>№05-25/247 от 26.02.2014г</t>
  </si>
  <si>
    <t>№06-40/401 от 04.03.2014г</t>
  </si>
  <si>
    <t>№06-0038/13 от 31.01.2013г</t>
  </si>
  <si>
    <t>Шығыс Қазақстан облысы Глубокий ауданының Верхнеберезовский  кентінің  сумен жабдықтау жүйесін  қайта жаңарту</t>
  </si>
  <si>
    <t>№28 от 22.05.2012г</t>
  </si>
  <si>
    <t>№05-25/321 от 14.03.2014г</t>
  </si>
  <si>
    <t>№12-35/515 от 22.02.2012г</t>
  </si>
  <si>
    <t>№7 от 11.02.2013г</t>
  </si>
  <si>
    <t>№06-0076/13 от 18.03.2013г</t>
  </si>
  <si>
    <t>№12-о от 09.04.2013г</t>
  </si>
  <si>
    <t>№32 от 14.06.2012г</t>
  </si>
  <si>
    <t>№06-07/юлв-1310 от 30.07.2012г</t>
  </si>
  <si>
    <t>№1069 от 03.06.2013г</t>
  </si>
  <si>
    <t>№12-35/1328 от 04.05.2013г</t>
  </si>
  <si>
    <t>Шығыс Қазақстан облысы Зайсан ауданы Шілікті ауылында су жүргізетін желілері және құрылысы</t>
  </si>
  <si>
    <t>№06-0188/13 от 25.06.2013г</t>
  </si>
  <si>
    <t>№36 от 04.07.2013</t>
  </si>
  <si>
    <t>№01-04/657-4 от 15.02.2012г</t>
  </si>
  <si>
    <t>№06-07/юлу-207 от 28.02.2013г</t>
  </si>
  <si>
    <t>№891 от 01.07.2013г</t>
  </si>
  <si>
    <t>№12-35/953 от 02.07.2013г</t>
  </si>
  <si>
    <t>Реконструкция водопроводных сетей государственного предприятия "Водоканал" города Зыряновск Зыряновского района ВКО (п.Зубовск)</t>
  </si>
  <si>
    <t>Шығыс Қазақстан облысы Зырян ауданы Зырян қаласындағы (Зубовск кенті) "Су арнасы" мемлекеттік кәсіпорнынының су құбыр желілерін қайта құру</t>
  </si>
  <si>
    <t>№06-0308/12 от 04.10.2012г</t>
  </si>
  <si>
    <t>№-50 от 07.11.2012г</t>
  </si>
  <si>
    <t>№36 от 09.07.2012г</t>
  </si>
  <si>
    <t>№06-07/юлш 1423 от 10.08.2012г</t>
  </si>
  <si>
    <t>№03-34/284 от 04.03.2014г</t>
  </si>
  <si>
    <t>№12-35/3320 от 23.11.2012г</t>
  </si>
  <si>
    <t>№06-0006/13 от 11.01.2013г</t>
  </si>
  <si>
    <t>Шығыс Қазақстан облысы Катон-Карағай  ауданы Өрел ауылындағы сумен жабдықтау жүйесін  қайта жаңарту</t>
  </si>
  <si>
    <t>№13 от 21.01.2013г</t>
  </si>
  <si>
    <t>№м-02-06-31/53 от 26.04.2012г</t>
  </si>
  <si>
    <t>№62 от 23.01.2013г</t>
  </si>
  <si>
    <t>№06-07/юлм-1155 от 20.06.2012г</t>
  </si>
  <si>
    <t>№12-35/220 от 23.01.2013г</t>
  </si>
  <si>
    <t>№06-0363/13 от 28.04.2013г</t>
  </si>
  <si>
    <t>Шығыс Қазақстан облысы Күршім ауданы Күршім ауылында кәрізді тазарту құрылыстары және кәріз жүйесі желілерін қайта жаңарту</t>
  </si>
  <si>
    <t>№72 от 03.11.2013г</t>
  </si>
  <si>
    <t>№1/1 от 10.01.2013г</t>
  </si>
  <si>
    <t>№06-07/юлк-386 от 05.04.2013г</t>
  </si>
  <si>
    <t>№3673 от 4.12.2013г</t>
  </si>
  <si>
    <t>Шығыс Қазақстан облысы Тарбағатай ауданы Қызыл-Кесік ауылында су жүргізетін желілерін қайта жаңарту</t>
  </si>
  <si>
    <t>№06-0234/13 от 07.082013г</t>
  </si>
  <si>
    <t>№77 от 09.09.2013г</t>
  </si>
  <si>
    <t>№01/к от 05.02.2013г</t>
  </si>
  <si>
    <t>№06-07/юлб-618 от 13.06.2013г</t>
  </si>
  <si>
    <t>№2896 от 20.03.2013г</t>
  </si>
  <si>
    <t>№07-22/2145 от 23.09.2013г</t>
  </si>
  <si>
    <t>Шығыс Қазақстан облысы Тарбағатай ауданы Ақсуат ауылында сутартқыш желілері (құрылыстың аяқталуы)</t>
  </si>
  <si>
    <t>№06-0041/14 от 13.01.2014г</t>
  </si>
  <si>
    <t>№_ от 31.01.2014</t>
  </si>
  <si>
    <t>№09/5 к от 09.09.2013г</t>
  </si>
  <si>
    <t>№06-07/3523 от 21.10.2013г</t>
  </si>
  <si>
    <t>№06-39/175 от 03.01.2014г</t>
  </si>
  <si>
    <t>Шығыс Қазақстан облысы Тарбағатай ауданы Ақжар ауылында су жүргізетін желілерді қайта жаңарту</t>
  </si>
  <si>
    <t>№06-0172/13 от 24.05.2013</t>
  </si>
  <si>
    <t>№62 от 02.07.2013г</t>
  </si>
  <si>
    <t>№29-02-02-07/100 от 17.01.2013г</t>
  </si>
  <si>
    <t>№06-07/юлб-527 от 04.05.2013г</t>
  </si>
  <si>
    <t>№2361 от 03.07.2013г</t>
  </si>
  <si>
    <t>№12-35/1725 от 24.01.2013г</t>
  </si>
  <si>
    <t>Шығыс Қазақстан облысы Ұлан ауданы Бозанбай ауылының сумен жабдықтауын қайта жаңарту</t>
  </si>
  <si>
    <t>№06-0255/13 от 29.08.2013г</t>
  </si>
  <si>
    <t>№93/1 от 03.09.2013г</t>
  </si>
  <si>
    <t>№111 от 28.06.2013г</t>
  </si>
  <si>
    <t>№06-07/2240 от 09.08.2013г</t>
  </si>
  <si>
    <t>№3520 от 27.04.2013г</t>
  </si>
  <si>
    <t>№06-12/2655 от 27.11.2013г</t>
  </si>
  <si>
    <t>Шығыс Қазақстан облысы Ұлан ауданы Мамай батыр ауылының су құбыры желілерін қайта жаңарту</t>
  </si>
  <si>
    <t>№06-0068/14 от 20.02.2014г</t>
  </si>
  <si>
    <t>№19 от 26.02.2014г</t>
  </si>
  <si>
    <t>№152 от 06.09.2013г</t>
  </si>
  <si>
    <t>№06-07/4389 от 05.12.2013г</t>
  </si>
  <si>
    <t>№06-40/404 от 04.03.2014г</t>
  </si>
  <si>
    <t>№05-18/264 от 28.02.2014г</t>
  </si>
  <si>
    <t>Шығыс Қазақстан облысы шемонаиха ауданы Рулиха ауылында су құбыры желілер жоларнасын және су іркуіш салу</t>
  </si>
  <si>
    <t>№06-0065/14 от 20.02.2014г</t>
  </si>
  <si>
    <t>№32 от 20.02.2014г</t>
  </si>
  <si>
    <t>№215/14 к от 13.09.2013г</t>
  </si>
  <si>
    <t>№06-07/3716 от 25.10.2013г</t>
  </si>
  <si>
    <t>№05-25/312 от 07.03.2014г</t>
  </si>
  <si>
    <t>№06-40/440 от 11.03.2014г</t>
  </si>
  <si>
    <t>Шығыс Қазақстан облысы Шемонаиха ауданы Красная Шемоноиха ауылында су құбыры желілер жоларнасын және су іркуіш салу</t>
  </si>
  <si>
    <t>№06-0051/14 от 10.02.2014г</t>
  </si>
  <si>
    <t>№31 от 20.02.2014г</t>
  </si>
  <si>
    <t>№242/16 к от 07.10.2013г</t>
  </si>
  <si>
    <t>№06-07/3845 от 30.10.2013г</t>
  </si>
  <si>
    <t>№05-25/314 от 07.03.2014г</t>
  </si>
  <si>
    <t>№06-40/439 от 11.03.2014г</t>
  </si>
  <si>
    <t>Строительство и расширение систем водоснабжения в кенте Айтеке би и г.Казалинск Казалинского района Кызылординской области</t>
  </si>
  <si>
    <t>Қызылорда облысы Қазалы ауданы Әйтеке би кенті мен Қазалы қаласында сумен жабдықтау жүйелерінің құрылысын салу және кеңейту</t>
  </si>
  <si>
    <t>№453-2012/7 от 12.12.12г</t>
  </si>
  <si>
    <t>№515-2013/7 от 15.05.2013г</t>
  </si>
  <si>
    <t>№516-2013/7 от 15.05.2013г</t>
  </si>
  <si>
    <t>№539-2013/7 от 03.09.2013г</t>
  </si>
  <si>
    <t>Реконструкция систем водоснабжения п.Амангельды Чингирлауского района ЗКО (корректировка)</t>
  </si>
  <si>
    <t>№09-0396/13 от 16.08.2013г</t>
  </si>
  <si>
    <t>№780 от 04.11.2009г</t>
  </si>
  <si>
    <t>Урдинский ГВ</t>
  </si>
  <si>
    <t>Строительство водопровода с.Борли Бокейординского района ЗКО</t>
  </si>
  <si>
    <t>Реконструкция водопровода с.Жалпактал Казталовского района ЗКО</t>
  </si>
  <si>
    <t>поверностный источник р.Большой Узень</t>
  </si>
  <si>
    <t>Реконструкция водопровода с.Жанажол Казталовского района ЗКО</t>
  </si>
  <si>
    <t>протокол ТКЗ,ГКЗ №659 от 11.12.2007г</t>
  </si>
  <si>
    <t>Реконструкция водопровода с.Тасмола Чингирлауского района ЗКО</t>
  </si>
  <si>
    <t>протокол ТКЗ,ГКЗ №591 от 29.06.2006гг</t>
  </si>
  <si>
    <t>Реконструкция водопровода с.Лубенка Чингирлауского района ЗКО</t>
  </si>
  <si>
    <t>протокол МКЗ №102 от 06.12.2013г</t>
  </si>
  <si>
    <t>Стротельство водопровода с.Коктерек Бокейординского района ЗКО</t>
  </si>
  <si>
    <t>протокол МКЗ №93 от 08.11.2013г</t>
  </si>
  <si>
    <t>Реконструкция водопровода с.Кайынды Казталовского района ЗКО</t>
  </si>
  <si>
    <t>№01-08/200 от 31.01.2013г</t>
  </si>
  <si>
    <t>№01-08/382 от 26.02.2013г</t>
  </si>
  <si>
    <t>Строительство объектов водоснабжения в с. Куйылыс  Иргизского  района Актюбинской области</t>
  </si>
  <si>
    <t>№01-08/376 от 26.02.2013г</t>
  </si>
  <si>
    <t>Ақтобе облысы Ырғыз ауданы Құйылыс ауылындағы сумен жабдықтау нысандарының құрылысы</t>
  </si>
  <si>
    <t>Ақтобе облысы Ырғыз ауданы Жайсаңбай ауылындағы сумен жабдықтау нысандарының құрылысы</t>
  </si>
  <si>
    <t>№01-08/202 от 31.01.2013г</t>
  </si>
  <si>
    <t>Ақтобе облысы Байғанин ауданы Жаңатан ауылындағы сумен қамту нысандарының құрылысы</t>
  </si>
  <si>
    <t>№04-0187/12 от 27.04.2012г</t>
  </si>
  <si>
    <t>№25 от 11.05.2012г</t>
  </si>
  <si>
    <t>№5-6/22 от 17.02.2012г</t>
  </si>
  <si>
    <t>№10 от 14.02.2012г</t>
  </si>
  <si>
    <t>№423 от 27.02.1997г</t>
  </si>
  <si>
    <t>№01-08/223 от 31.01.2013г</t>
  </si>
  <si>
    <t>№02-08/3431 от 19.12.2012г</t>
  </si>
  <si>
    <t>Реконструкция системы канализации с.Каргалинское г.Актобе</t>
  </si>
  <si>
    <t>Ақтобе қаласы Қарғалы ауылының кәріз жүйесін қайта жаңарту</t>
  </si>
  <si>
    <t>№04-0162/13 от 23.05.2013г</t>
  </si>
  <si>
    <t>№02-12/411 от 20.02.2014г</t>
  </si>
  <si>
    <t>№306 от 11.02.2013г</t>
  </si>
  <si>
    <t>№5-6/73 от 04.03.2013г</t>
  </si>
  <si>
    <t>№03-8/118 от 28.05.2013г</t>
  </si>
  <si>
    <t>№01-08/276 от 20.02.2014г</t>
  </si>
  <si>
    <t>Ақтобе облысы Мұғалжар ауданы Бірлік ауылында объектілермен сумен жабдықтау жүйелерінің қайта жаңарту</t>
  </si>
  <si>
    <t>№04-0130/14 от 28.03.2014г</t>
  </si>
  <si>
    <t>№8 от 23.01.2014г</t>
  </si>
  <si>
    <t>№02-20/698 от 28.03.2014г</t>
  </si>
  <si>
    <t>№01-08/490 от 28.03.2014г</t>
  </si>
  <si>
    <t>№39 от 29.03.2014г</t>
  </si>
  <si>
    <t>Ақтобе облысы Мұғалжар ауданы Қайынды ауылында объектілер мен сумен жабдықтау жүйелерінің қайта жаңарту</t>
  </si>
  <si>
    <t>Реконструкция объектов водоснабжения в с.Кайынды Мугалжарского района Актюбинской области</t>
  </si>
  <si>
    <t>№04-0122/14 от 28.03.2014г</t>
  </si>
  <si>
    <t>№40 от 29.03.2014г</t>
  </si>
  <si>
    <t>№9 от 23.01.2014г</t>
  </si>
  <si>
    <t>№02-20/696 от 28.03.2014г</t>
  </si>
  <si>
    <t>№01-08/488 от 28.03.2014г</t>
  </si>
  <si>
    <t>Ақтобе облысы Қарғалы ауданы Ақкөл(Приозерное) ауылында сумен жабдықтау жүйелерінің қайта жаңарту</t>
  </si>
  <si>
    <t>№04-0127/14 от 28.03.2014г</t>
  </si>
  <si>
    <t>Реконструкция систем водоснабжения в с.Акколь(Приозерное) Каргалинского района Актюбинской области</t>
  </si>
  <si>
    <t>№13 от 28.03.2014г</t>
  </si>
  <si>
    <t>№17 от 11.02.2014г</t>
  </si>
  <si>
    <t>№02-20/697 от 28.03.2014г</t>
  </si>
  <si>
    <t>Ақтобе облысы Ырғыз ауданы Ақши ауылындағы су құбыры желілерін қайта жаңарту</t>
  </si>
  <si>
    <t>№04-0121/14 от 27.03.2014г</t>
  </si>
  <si>
    <t>Реконструкция водопроводных сетей в с.Акши Иргизского района Актюбинской области</t>
  </si>
  <si>
    <t>№11 от 28.03.2014г</t>
  </si>
  <si>
    <t>№7 от 13.02.2014г</t>
  </si>
  <si>
    <t>№02-20/693 от 28.03.2014г</t>
  </si>
  <si>
    <t>№01-08/487 от 28.03.2014г</t>
  </si>
  <si>
    <t>№05-0229/12 от 19.06.2012г</t>
  </si>
  <si>
    <t>№05-0161/12 от 28.04.2012г</t>
  </si>
  <si>
    <t>№05-0216/12 от 12.06.2012г</t>
  </si>
  <si>
    <t>№05-0217/12 от 12.06.2012г</t>
  </si>
  <si>
    <t>№05-0230/12 от 19.06.2012г</t>
  </si>
  <si>
    <t>№05-0214/12 от 12.06.2012г</t>
  </si>
  <si>
    <t>№08-0373/12 от 22.10.12</t>
  </si>
  <si>
    <t>№09-0874/11 от 12.10.2011г</t>
  </si>
  <si>
    <t>№09-0299/13 от 01.07.2013г</t>
  </si>
  <si>
    <t>№13-0004/13 от 28.01.2013г</t>
  </si>
  <si>
    <t>№13-0167/12 от 16.08.2012г</t>
  </si>
  <si>
    <t>№13-0352/12 от 14.12.2012г</t>
  </si>
  <si>
    <t>№13-0119/12 от 29.06.2012г</t>
  </si>
  <si>
    <t>№13-0087/13 от 14.06.2013г</t>
  </si>
  <si>
    <t>№14-0036/13 от 26.02.2013г</t>
  </si>
  <si>
    <t>№14-0272/11 от 01.09.2011г</t>
  </si>
  <si>
    <t>№14-0368/11 от 25.10.2011г</t>
  </si>
  <si>
    <t>№14-0537/12 от 29.12.2012г</t>
  </si>
  <si>
    <t>15-0225/12 от 14.05.2012г</t>
  </si>
  <si>
    <t>№15-0589/12 от 21.12.12</t>
  </si>
  <si>
    <t>№16-0041/12 от 28.02.2012г</t>
  </si>
  <si>
    <t>№01-771/12 от 23.11.2012г.</t>
  </si>
  <si>
    <t>№22-ПИР от 09.09.2013г</t>
  </si>
  <si>
    <t>№43/н от 10.03.2011г</t>
  </si>
  <si>
    <t>№203 от 21.04.2011</t>
  </si>
  <si>
    <t>№05-17 от 27.01.2014г</t>
  </si>
  <si>
    <t>№1394 от 14.12.2009</t>
  </si>
  <si>
    <t>№18-0845/11 от 14.11.2011г</t>
  </si>
  <si>
    <t>№7/н от 18.01.2013</t>
  </si>
  <si>
    <t>№20-26/484 от 14.03.2013г</t>
  </si>
  <si>
    <t>№25-06-25/1164/826 от 29.03.2013г</t>
  </si>
  <si>
    <t>№31-03/6 от 24.09.2012</t>
  </si>
  <si>
    <t>№2-128 от 17.04.2012г</t>
  </si>
  <si>
    <t>№365-П от 3.04.2012г</t>
  </si>
  <si>
    <t>№50 от 25.07.2012г</t>
  </si>
  <si>
    <t>№11-06/361-8 от 30.03.2013г</t>
  </si>
  <si>
    <t>№31-03/7 от 24.09.2012г</t>
  </si>
  <si>
    <t>№2-122 от 16.04.2012г</t>
  </si>
  <si>
    <t>№504-П от 20.04.2012г</t>
  </si>
  <si>
    <t>№40 от 22.06.2012г</t>
  </si>
  <si>
    <t>№11-06/361-4 от 30.03.2013г</t>
  </si>
  <si>
    <t>№515-П от 20.04.2012г</t>
  </si>
  <si>
    <t>№2-124 от 17.04.2012г</t>
  </si>
  <si>
    <t>№11/6-441-43 от 26.07.2012г</t>
  </si>
  <si>
    <t>№2-123 от 16.04.2012г</t>
  </si>
  <si>
    <t>№505-П от 20.04.2012г</t>
  </si>
  <si>
    <t>№38 от 18.06.2012г</t>
  </si>
  <si>
    <t>№11-06/361-5 от 30.03.2013г</t>
  </si>
  <si>
    <t>№05-0197/13 от 26.08.2013г</t>
  </si>
  <si>
    <t>№04-10/221 от 17.03.2014г</t>
  </si>
  <si>
    <t>№2-148 от 27.06.2013</t>
  </si>
  <si>
    <t>№29 от 24.05.2013г</t>
  </si>
  <si>
    <t>№163-а от 10.10.2013г</t>
  </si>
  <si>
    <t>№11-06-04/135-1 от 27.03.2014г</t>
  </si>
  <si>
    <t>№2-250 от 16.04.2012г</t>
  </si>
  <si>
    <t>№464-П от 13.04.2012г</t>
  </si>
  <si>
    <t>№23 от 04.05.2012г</t>
  </si>
  <si>
    <t>№31-03/11 от 24.09.2012г</t>
  </si>
  <si>
    <t>№2-234 от 16.04.2012г</t>
  </si>
  <si>
    <t>№367-П от 03.04.2012г</t>
  </si>
  <si>
    <t>№37 от 18.06.2012г</t>
  </si>
  <si>
    <t>№11-06/361-6 от 30.03.2013г</t>
  </si>
  <si>
    <t>№2-120 от 16.04.2013г</t>
  </si>
  <si>
    <t>№503-П от 20.04.2012г</t>
  </si>
  <si>
    <t>№41 от 22.06.2012г</t>
  </si>
  <si>
    <t>№11-06/361-7 от 30.03.2013г</t>
  </si>
  <si>
    <t>№2-249 от 16.04.2012г</t>
  </si>
  <si>
    <t>№39 от 18.06.2012г</t>
  </si>
  <si>
    <t>№11-06/361-11 от 30.03.2013г</t>
  </si>
  <si>
    <t xml:space="preserve"> №05-0147/12 от 27.04.2012г</t>
  </si>
  <si>
    <t>2-127 от 17.04.2012г</t>
  </si>
  <si>
    <t>№501-П от 20.04.2012г</t>
  </si>
  <si>
    <t>№16 от 27.04.2012г</t>
  </si>
  <si>
    <t>№10-150 от 29.01.2014г</t>
  </si>
  <si>
    <t>№7-1719 от 14.08.2013г</t>
  </si>
  <si>
    <t>№270 от 25.02.2014г</t>
  </si>
  <si>
    <t>№43 от 11.10.2013г</t>
  </si>
  <si>
    <t>№273 от 25.02.2014</t>
  </si>
  <si>
    <t>№246 от 1.11.2013г</t>
  </si>
  <si>
    <t>№271 от 25.02.2014г</t>
  </si>
  <si>
    <t>№245 от 1.11.2013г</t>
  </si>
  <si>
    <t>№272 от 25.02.2014г</t>
  </si>
  <si>
    <t>№02-03-5296/я-2544 от 30.12.2011г</t>
  </si>
  <si>
    <t>№983 от 20.07.2012г</t>
  </si>
  <si>
    <t>№9 от 19.06.2012г</t>
  </si>
  <si>
    <t>№348 от 15.02.2013г</t>
  </si>
  <si>
    <t>№15 от 20.05.2013г</t>
  </si>
  <si>
    <t>№04-14/1218 от 28.08.2013</t>
  </si>
  <si>
    <t>№03-1913 от 12.08.2013г</t>
  </si>
  <si>
    <t>№1086 от 20.06.2013г</t>
  </si>
  <si>
    <t>№23 от 13.06.2013г</t>
  </si>
  <si>
    <t>№1001 от 06.06.2012г</t>
  </si>
  <si>
    <t>№134 от 07.06.2012г</t>
  </si>
  <si>
    <t>№33 от 12.07.2012г</t>
  </si>
  <si>
    <t>№04-15/978 от 29.08.2008г</t>
  </si>
  <si>
    <t>№04-15/1542 от 30.11.2011г</t>
  </si>
  <si>
    <t>№2187 от 16.11.12</t>
  </si>
  <si>
    <t>№52 от 29.10.2012</t>
  </si>
  <si>
    <t>№04-15/1096 от 11.07.2012г</t>
  </si>
  <si>
    <t>№1 от 30.01.2013г</t>
  </si>
  <si>
    <t>№13-а от 15.01.2013г</t>
  </si>
  <si>
    <t>№84 от 29.09.2011г</t>
  </si>
  <si>
    <t>№02-03-3688/С-1188 от 23.08.2011г</t>
  </si>
  <si>
    <t>№04-15/959 от 03.08.2011г</t>
  </si>
  <si>
    <t>№4 от 11.01.2013г</t>
  </si>
  <si>
    <t>№8 от 18.04.2011г</t>
  </si>
  <si>
    <t>№226 от 08.02.2010г</t>
  </si>
  <si>
    <t>№7 от 22.02.2010г</t>
  </si>
  <si>
    <t>№04-15/874 от 01.08.2008г</t>
  </si>
  <si>
    <t>№7 от 21.01.2012г</t>
  </si>
  <si>
    <t>№06-06/2002 от 09.08.2011г</t>
  </si>
  <si>
    <t>№163 от 27.06.2011г</t>
  </si>
  <si>
    <t>№05-08/2711 от 08.12.2011г</t>
  </si>
  <si>
    <t>№100 от 28.11.2011г</t>
  </si>
  <si>
    <t>№07-18/308 от 10.02.2012г</t>
  </si>
  <si>
    <t>№938 от 20.09.2012г</t>
  </si>
  <si>
    <t>№06-12/2401 от 11.10.2012г</t>
  </si>
  <si>
    <t>№07-18/475 от 21.02.2013г</t>
  </si>
  <si>
    <t>№35 от 15.08.2011г</t>
  </si>
  <si>
    <t>№06-12/2273 от 09.09.2011г</t>
  </si>
  <si>
    <t>№02-2-312 от 29.11.2011г</t>
  </si>
  <si>
    <t>№109 от 11.11.2009г</t>
  </si>
  <si>
    <t>№49 от 3.09.1990г</t>
  </si>
  <si>
    <t>№7 от 26.02.2013г</t>
  </si>
  <si>
    <t>№227 от 19.12.2012г</t>
  </si>
  <si>
    <t>№06-12/3217 от 22.12.2012г</t>
  </si>
  <si>
    <t>№07-18/330 от 8.02.2013г</t>
  </si>
  <si>
    <t>№14-0595/13 от 23.12.2013г</t>
  </si>
  <si>
    <t>№02-4/17 от 27.01.2014г</t>
  </si>
  <si>
    <t>№539 от 04.10.2013г</t>
  </si>
  <si>
    <t>№06-12/2921 от 30.10.2013г</t>
  </si>
  <si>
    <t>№08-14/338 от 20.02.2014г</t>
  </si>
  <si>
    <t>№16 от 30.01.2013</t>
  </si>
  <si>
    <t>№9 от 29.01.2008г</t>
  </si>
  <si>
    <t>№03-03/222 от 21.01.2008г</t>
  </si>
  <si>
    <t>№07-19/452 от20.02.2014г</t>
  </si>
  <si>
    <t>№78 от 6.08.2009г</t>
  </si>
  <si>
    <t>№35 от 13.08.2009г</t>
  </si>
  <si>
    <t>№06-06/2112 от 17.08.2009г</t>
  </si>
  <si>
    <t>№17-03/3330-КГН от 23.10.2012г,№137 от 10.10.1986г</t>
  </si>
  <si>
    <t>№05-06/295 от 15.02.2011</t>
  </si>
  <si>
    <t>№12 от 2.03.2012г</t>
  </si>
  <si>
    <t>№12/1-15/юл с-452 от 15.06.2012г</t>
  </si>
  <si>
    <t>№16/11-18/434 от 14.03.2012г</t>
  </si>
  <si>
    <t>№37 от 12.06.2012г</t>
  </si>
  <si>
    <t>не имеется</t>
  </si>
  <si>
    <t>№171-н от 31.12.2012г</t>
  </si>
  <si>
    <t>№52-о от 6.06.2012г</t>
  </si>
  <si>
    <t>№14 от 13.01.2012г</t>
  </si>
  <si>
    <t>№5-12/869 от 07.06.2012г</t>
  </si>
  <si>
    <t>5-12/870 от 07.06.2012г</t>
  </si>
  <si>
    <t>№72 от 24.12.2012г</t>
  </si>
  <si>
    <t>№49 от 06.03.2012г</t>
  </si>
  <si>
    <t>№04-15/388 от 01.03.2013г</t>
  </si>
  <si>
    <t>№08 от 24.02.2012г</t>
  </si>
  <si>
    <t>№5-14/187 от 13.03.2013г</t>
  </si>
  <si>
    <t>№15-0238/12 от 14.05.2012г</t>
  </si>
  <si>
    <t>№5-12/872 от 07.06.2012г</t>
  </si>
  <si>
    <t>№15-0256/13 от 09.08.2013г</t>
  </si>
  <si>
    <t>№08-05/04 от 07.02.2014г</t>
  </si>
  <si>
    <t>№76 от 06.03.2012г</t>
  </si>
  <si>
    <t>№04-15/303 от 26.02.2014 г</t>
  </si>
  <si>
    <t>№-164-5 от 26.12.2012г</t>
  </si>
  <si>
    <t>№382 от 07.09.2012г</t>
  </si>
  <si>
    <t>№136-о от 28.12.2012г</t>
  </si>
  <si>
    <t>№112 от 03.07.2012г</t>
  </si>
  <si>
    <t>№04-15/308 от 26.02.2014г</t>
  </si>
  <si>
    <t>№5-14/177 от 03.03.2013г</t>
  </si>
  <si>
    <t>№27 от 22.10.2012г</t>
  </si>
  <si>
    <t>№Зт-К-372 от 02.05.2012г</t>
  </si>
  <si>
    <t>№72 от 19.04.2012г</t>
  </si>
  <si>
    <t>№639 от 22.08.2011г</t>
  </si>
  <si>
    <t>№78 от 7.03.2012г</t>
  </si>
  <si>
    <t>№225 от 24.08.2013г</t>
  </si>
  <si>
    <t>№13 от 12.07.2013г</t>
  </si>
  <si>
    <t>№9 от 8.01.2013г</t>
  </si>
  <si>
    <t>№45 от 21.01.2013г</t>
  </si>
  <si>
    <t>№2-1.1./74 от 5.07.2013г</t>
  </si>
  <si>
    <t>№720 от 2.12.2008г</t>
  </si>
  <si>
    <t>№471-2013/7от 24.01.2013г</t>
  </si>
  <si>
    <t>№04-0137/14 от 03.04.2014г</t>
  </si>
  <si>
    <t>№24 от 03.04.2014г</t>
  </si>
  <si>
    <t>№2 от 15.012014г</t>
  </si>
  <si>
    <t>№02-20/733 от 03.04.2014г</t>
  </si>
  <si>
    <t>№97 от 28.11.2013г</t>
  </si>
  <si>
    <t>№01-08/519 от 04.04.2014г</t>
  </si>
  <si>
    <t>Ақтобе облысы Қобда ауданы Талдысай ауылына сумен жабдықтау объектілерінің құрылысы</t>
  </si>
  <si>
    <t xml:space="preserve">Ақтобе облысы Қобда ауданы Бестау ауылына сумен жабдықтау нысандарының құрылысы </t>
  </si>
  <si>
    <t>№04-0136/14 от 02.04.2014г</t>
  </si>
  <si>
    <t>№23 от 03.04.2014г</t>
  </si>
  <si>
    <t>№3 от 13.01.2014г</t>
  </si>
  <si>
    <t>№02-20/732 от 01.04.2014г</t>
  </si>
  <si>
    <t>№01-08/520 от 04.04.2014г</t>
  </si>
  <si>
    <t>Ақтобе облысы Әйтеке би ауданы Аралтобе ауылында су құбыры желілерінің құрылысы</t>
  </si>
  <si>
    <t>№04-0135/14 от 31.03.2014г</t>
  </si>
  <si>
    <t>№28 от 31.03.2014г</t>
  </si>
  <si>
    <t>№19 от 11.02.2014г</t>
  </si>
  <si>
    <t>№02-20/727 от 01.04.2014г</t>
  </si>
  <si>
    <t>№01-08/521 от 04.04.2014г</t>
  </si>
  <si>
    <t>№502-П от 20.04.2012г</t>
  </si>
  <si>
    <t>Махамбет ауданы Жалғансай селосындағы су тазарту ғимараттарын және су құбырларын қайта жаңарту</t>
  </si>
  <si>
    <t>Атырау облысы Махамбет ауданы Алмалы селосындағы су тазарту ғимараттарын және су құбырлары желілерін қайта жаңарту</t>
  </si>
  <si>
    <t>Атырау облысы Махамбет ауданы Таңдай селосындағы су құбырлары желісін қайта жаңарту</t>
  </si>
  <si>
    <t>Реконструкция водопроводных сетей в с.Тандай Махамбетского района Атырауской области</t>
  </si>
  <si>
    <t>Атырау облысы Махамбет ауданы Ортакшыл селосындағы су тазарту ғимараттарын және су құбырлары желілерінің құрылысы</t>
  </si>
  <si>
    <t>Атырау облысы Махамбет ауданы Алға селосындағы су тазарту ғимараттарын және су құбырлары желілерін қайта жаңарту</t>
  </si>
  <si>
    <t>Исатай ауданы Тұщықұдық селосындағы су тазартқыш құрылымдарын қайта жаңарту және поселкеішілік су құбыры желісінің құрылысы</t>
  </si>
  <si>
    <t>№21 от 14.01.2014</t>
  </si>
  <si>
    <t>Разработка ПСД на строительство внутрипоселковых водопроводных сетей в с.Косчагыл Жылыойского района</t>
  </si>
  <si>
    <t>Жылыой ауданы Қосшағыл селосындағы поселкеішілік су желілерінің құрылысын жүргізу үшін ЖСҚ дайындау</t>
  </si>
  <si>
    <t>Реконструкция разводящих сетей водопровода с.Карасу Карасуского района Костанайской области</t>
  </si>
  <si>
    <t>№611 от 31.10.2013г</t>
  </si>
  <si>
    <t>№30 от 06.06.2011г</t>
  </si>
  <si>
    <t>№14 от 22.01.2014г</t>
  </si>
  <si>
    <t>№17 от 15.01.2014г</t>
  </si>
  <si>
    <t>№14 от 24.03.2014г</t>
  </si>
  <si>
    <t>БҚО Шаңғырлау ауданы Ащысай ауылында су құбырының құрылысы</t>
  </si>
  <si>
    <t>2016</t>
  </si>
  <si>
    <t>2016-2017</t>
  </si>
  <si>
    <t>кол-во ед.</t>
  </si>
  <si>
    <t>№06-06/2013 от 10.08.2011г</t>
  </si>
  <si>
    <t>№687 от 15.07.2011г</t>
  </si>
  <si>
    <t>№14-0391/11 от 07.11.2011г</t>
  </si>
  <si>
    <t>Алматы облысы Кербұлақ ауданының Шаған ауылындағы сумен жабдықтау жүйелерінің құрылысы және қайта жаңғырту</t>
  </si>
  <si>
    <t>Алматы облысы Іле ауданының Өтеген батыр ауылындағы КСС және канализация жүйелерінің құрылысы және қайта жаңғырту</t>
  </si>
  <si>
    <t>№13/н от 22.01.2014г</t>
  </si>
  <si>
    <t>№18-0403/13 от 29.06.2013г</t>
  </si>
  <si>
    <t>№131 от 13.03.2013г</t>
  </si>
  <si>
    <t>№25-06-25/1745/1159 от 25.04.2013г</t>
  </si>
  <si>
    <t>№05-11 от 27.01.2014г</t>
  </si>
  <si>
    <t>№06-91 от 19.03.2014г</t>
  </si>
  <si>
    <t>№06-90 от 19.03.2014г</t>
  </si>
  <si>
    <t>№06-89 от 19.03.2014г</t>
  </si>
  <si>
    <t>№06-88 от 19.03.2014г</t>
  </si>
  <si>
    <t>№06-87 от 19.03.2014г</t>
  </si>
  <si>
    <t>№06-86 от 19.03.2014г</t>
  </si>
  <si>
    <t>№06-85 от 19.03.2014г</t>
  </si>
  <si>
    <t>№06-84 от 19.03.2014</t>
  </si>
  <si>
    <t>№06-82 от 19.03.2014г</t>
  </si>
  <si>
    <t>№06-80 от 19.03.2014г</t>
  </si>
  <si>
    <t>№06-78 от 19.03.2014г</t>
  </si>
  <si>
    <t>№06-77 от 19.03.2014г</t>
  </si>
  <si>
    <t>№06-76 от 19.03.2014г</t>
  </si>
  <si>
    <t>№14-0585/13 от 20.12.2013г</t>
  </si>
  <si>
    <t>Қызылорда облысы Сырдария ауданы С. Сейфуллин елді мекеніндегі тұрғын үйлергесу құбырын жеткізу желілернің құрылысы"</t>
  </si>
  <si>
    <t>Жамбыл облысы Жамбыл ауданы Жамбыл ауылдық округі Шайқорық,Танта,Капал,Қоңыртөбе ауылдарын және шайқорық бекетін сумен қамтамасыз ету үшін Қоңыртөбе ауылдарын және Шайқорық бекетін сумен қамтамасыз ету үшін топтастырылған су құбырының құрылысын салу</t>
  </si>
  <si>
    <t>№86 от 14.05.2012 г.</t>
  </si>
  <si>
    <t>№411 , от 03.10.2012г</t>
  </si>
  <si>
    <t>№425 от 10.10.2012г</t>
  </si>
  <si>
    <t>Бейнеу селосындағы кентішілік су құбыры құрылысы.2 телім</t>
  </si>
  <si>
    <t>С.Шапағатов селосындағы резервуар және селоішілік су құбыры құрылысы</t>
  </si>
  <si>
    <t>№157 от 28.04.2012г</t>
  </si>
  <si>
    <t>Мұнайлы ауданы Дәулет селосы округының сумен жабдықтау желілерінің құрылысы</t>
  </si>
  <si>
    <t>№04-15/365 от 28.02.2013г</t>
  </si>
  <si>
    <t>Қостанай облысы Алтынсарин ауданының Большая Чуровка ауыл тұрғындарын ауыз-сумен қамтамасыз етуге арналған қолданыстағы су құбырын қайта құрылымдау</t>
  </si>
  <si>
    <t>Қостанай облысы Таран ауданы "Тобыл ауылынан2-ші сорғы көтермеге дейін таратушы торабын  қайта құрылымдау (түзету)</t>
  </si>
  <si>
    <t>Реконструкция водоснабжения села Крымское Денисовского района Костанайской области</t>
  </si>
  <si>
    <t>Реконструкция Волгоградского группового водопровода (расширение до с.Милютинка) Жетикаринского района Костанайской области</t>
  </si>
  <si>
    <t>Қостанай облысы Жітіқара ауданының (Милютинка ауылына дейін кеңейту) Волгоград топтық су құбырын қайта құрылымдау</t>
  </si>
  <si>
    <t>Қостанайоблысы Жангелдин ауданының Торғай ауылын сумен жабдықтауды қайта жаңарту</t>
  </si>
  <si>
    <t>Қостанай облысы  Қарасу ауданы Железнодорожное селосының таратушы су құбыры желісін қайта құрылымдау</t>
  </si>
  <si>
    <t>Реконструкция разводящих сетей водопровода с.Октябрьское Карасуского района Костанайской области</t>
  </si>
  <si>
    <t>Қостанай облысы Ұзынкөл ауданы К.Маркс-Троебрат ауылдарында Тобыл топтық суқұбырының саласын қайта құрылымдау</t>
  </si>
  <si>
    <t>№5 от 31.01.2013г</t>
  </si>
  <si>
    <t>Қостанай облысы Ұзынкөл ауданының  Сокол ауылының су құбырларын таратау желілерін қайта жаңарту</t>
  </si>
  <si>
    <t>Қостанай облысы Денисов ауданы Денисов селосындағы кәріз желісінің құрылысы</t>
  </si>
  <si>
    <t>ГЭ №12-0171 от 25.05.2012г</t>
  </si>
  <si>
    <t xml:space="preserve"> Ақмола облысы Жарқайың ауданы Отрадное селосы жер асты көздерінің сумен жабдықтау жүйелерін қайта құрылымдау</t>
  </si>
  <si>
    <t>№14 от16.03.2012г</t>
  </si>
  <si>
    <t>№ 01-06/1449 от 12.04.2013 г.</t>
  </si>
  <si>
    <t>Протокол МКЗ № 1299 от 28.12.2011г</t>
  </si>
  <si>
    <t xml:space="preserve"> Ақмола облысы Шортанды ауданы Шортанды с кентіндегі су құбыры желілері мен су тартуды қалпына келтіру (2 кезек)  </t>
  </si>
  <si>
    <t>ГЭ №03-0235/11 от 22.07.2011г</t>
  </si>
  <si>
    <t>№29/2 от 25.07.2011г</t>
  </si>
  <si>
    <t xml:space="preserve">№01-06/3637 от 30.12.2009 г.  </t>
  </si>
  <si>
    <t xml:space="preserve">№ 09-2556 от 01.09.2012 г.  </t>
  </si>
  <si>
    <t xml:space="preserve"> </t>
  </si>
  <si>
    <t>№12-0052/13 от 21.02.2013г</t>
  </si>
  <si>
    <t>№16н от 01.03.2013г</t>
  </si>
  <si>
    <t>№09-1019 от 12.11.2012г</t>
  </si>
  <si>
    <t>№04-489 от 28.09.2012г</t>
  </si>
  <si>
    <t>№06-36 от 24.04.13г</t>
  </si>
  <si>
    <t>№44 от 29.12.2007</t>
  </si>
  <si>
    <t>Ақмола облысы Шортанды ауданы Бозайғыр ауылының тұрғын үйлері учаскелерінің шегіне дейін су құбырын жеткізу және су құбыры желілерін қайта құрылымдау (ІІ кезек)</t>
  </si>
  <si>
    <t>ГЭ на ПСД №12-0049/13 от 20.02.2013 года</t>
  </si>
  <si>
    <t>№4 от 2.04.2013г</t>
  </si>
  <si>
    <t>№188 от 10.09.2012г</t>
  </si>
  <si>
    <t>№06-35 от 24.04.2013 г.</t>
  </si>
  <si>
    <t>Строительство внутрисельских водопроводных сетей в с.Тургызба Жылыойского района</t>
  </si>
  <si>
    <t>№42 от 26.06.2012г</t>
  </si>
  <si>
    <t>№01/06/60 от 20.01.2014г</t>
  </si>
  <si>
    <t>№01-08/489 от 28.03.2014г</t>
  </si>
  <si>
    <t>«Реконструкция и расшиерние систем водоснабжения  в н.п. Акай Кармакшинского районаКызылординской области»</t>
  </si>
  <si>
    <t>№3 от 3.01.2013</t>
  </si>
  <si>
    <t>№07-07/508 от 23.02.2013г</t>
  </si>
  <si>
    <t>№07-18/564 от 27.02.2013г</t>
  </si>
  <si>
    <t>Қызылорда облысы Қазалы ауданы Пірімов елді мекеніндегі тұтынушылардың  учаскелерінің шекарасына ауыз су құбырын жеткізу желілерінің құрылысы</t>
  </si>
  <si>
    <t>№02-4/19 от 27.01.2014 г.</t>
  </si>
  <si>
    <t>№547 от 04.10.2013 г.</t>
  </si>
  <si>
    <t>№06-12/2916 от 30.10.2013 г.</t>
  </si>
  <si>
    <t>Қызылорда облысы Қазалы ауданы Жанқожа батыр елді мекеніндегі тұтынушылардың учаскелерінің шекарасына ауыз су құбырын жеткізу желілерінің құрылысы</t>
  </si>
  <si>
    <t>№06-12/2920 от 30.10.2013г.</t>
  </si>
  <si>
    <t>№02-4/20 от 27.01.2014г</t>
  </si>
  <si>
    <t>№546 от 04.10.2013г</t>
  </si>
  <si>
    <t>№06-12/2926 от 30.10.2013г</t>
  </si>
  <si>
    <t>№535 от 4.10.2013г</t>
  </si>
  <si>
    <t>№156 а-о от 10.12.2012г</t>
  </si>
  <si>
    <t>№90-а от 23.11.2012г</t>
  </si>
  <si>
    <t>№07-16 от 01.06.2012г</t>
  </si>
  <si>
    <t>№03.10-03-14-249 от 06.02.2012г</t>
  </si>
  <si>
    <t>№09-0283/13 от 25.06.2013г</t>
  </si>
  <si>
    <t>№40 от 26.07.2013г</t>
  </si>
  <si>
    <t>№42 от 22.01.2013 г.</t>
  </si>
  <si>
    <t>№80 от 07.02.5013г</t>
  </si>
  <si>
    <t>№15 от 13.08.2013г</t>
  </si>
  <si>
    <t>№226 от 24.08.2013г</t>
  </si>
  <si>
    <t>БҚО Шыңғырлау ауданының Аманкелді ауылындағы сумен жабдықтау жүйесін қайта құру (түзету)</t>
  </si>
  <si>
    <t>№20 от 23.08.2013г</t>
  </si>
  <si>
    <t>№421 от 25.06.2010г</t>
  </si>
  <si>
    <t>№602 от 3.07.2010г</t>
  </si>
  <si>
    <t>№16 от 23.08.2013г</t>
  </si>
  <si>
    <t>БҚО Жәнібек ауданының Талов ауылының сумен жабдықтау жүйесін қайта құру</t>
  </si>
  <si>
    <t>№09-0273/13  от 20.06.2013г</t>
  </si>
  <si>
    <t>№15 от 21.06.2013г</t>
  </si>
  <si>
    <t>№14 от 09.01.2013г</t>
  </si>
  <si>
    <t>№42 от 17.01.2013г</t>
  </si>
  <si>
    <t>№14 от 13.08.2013г</t>
  </si>
  <si>
    <t>№227 от 24.08.2013г</t>
  </si>
  <si>
    <t>№17/1 от 29.11.2011г</t>
  </si>
  <si>
    <t>№185 от 30.07.2013г</t>
  </si>
  <si>
    <t>№627 от 20.12.2012</t>
  </si>
  <si>
    <t>№30-30/573/2 от 27.05.2013г</t>
  </si>
  <si>
    <t>река Талас</t>
  </si>
  <si>
    <t>№04-0139/14 от 07.04.2014г</t>
  </si>
  <si>
    <t>№85 от 07.04.2014г</t>
  </si>
  <si>
    <t>№02-20/795 от 08.04.2014г</t>
  </si>
  <si>
    <t>№95 от 21.11.2013г</t>
  </si>
  <si>
    <t>№01-08/558 от 08.04.2014г</t>
  </si>
  <si>
    <t>Ақтөбе облысы Байганин ауданы Жарқамыс ауылында ссумен жабдықтау нысандарының құрылысы</t>
  </si>
  <si>
    <t>№04-0140/14 от 7.04.2014г</t>
  </si>
  <si>
    <t>№32 от 7.04.2014г</t>
  </si>
  <si>
    <t>№8 от 10.02.2014г</t>
  </si>
  <si>
    <t>№02-20/796 от 08.04.2014г</t>
  </si>
  <si>
    <t>№01-08/557 от 08.04.2014г</t>
  </si>
  <si>
    <t>Ақтөбе облысы Қарғалы ауданы Жосалы ауылындағ,ы сумен жабдықтау жүйесін қайта жаңарту</t>
  </si>
  <si>
    <t>№04-0144/14 от 10.04.2014г</t>
  </si>
  <si>
    <t>№22 от10.04.2014г</t>
  </si>
  <si>
    <t>№16 от 11.02.2014г</t>
  </si>
  <si>
    <t>№02-20/823 от 10.04.2014г</t>
  </si>
  <si>
    <t>№01-08/582 от 11.04.2014г</t>
  </si>
  <si>
    <t>Ақтөбе облысы Шалқар ауданы Біршоғыр стансасында су құбыры желілерін қайта жаңарту</t>
  </si>
  <si>
    <t>№04-0145/14 от 11.04.2014г</t>
  </si>
  <si>
    <t>№43 от 11.04.2014г</t>
  </si>
  <si>
    <t>№13 от 31.01.2014г</t>
  </si>
  <si>
    <t>№02-20/832 от 11.04.2014г</t>
  </si>
  <si>
    <t>Ақтобе облысы Алға ауданы Бесқоспа ауылына сумен жабдықтау жүйесінің құрылысы</t>
  </si>
  <si>
    <t xml:space="preserve">БҚО Жаңақала ауданының Жаңақазан ауылындағы  су құбырын қайта құру </t>
  </si>
  <si>
    <t>водоотведение</t>
  </si>
  <si>
    <t>Реконструкция водопровода в с. Панфилова Иртышского района Павлодарской области</t>
  </si>
  <si>
    <t>Строительство водопроводав с.Баянаул Баянаулского района Павлодарской области</t>
  </si>
  <si>
    <t>№27 от 28.05.2012г</t>
  </si>
  <si>
    <t>б/н
 без виз</t>
  </si>
  <si>
    <t>№17-04-394 от 10.02.2011</t>
  </si>
  <si>
    <t>№16-13-5-763 от 2010</t>
  </si>
  <si>
    <t>Реконструкция водоочистных сооружений и  водопроводных сетей в с.Сартугай Махамбетского района Атырауской области</t>
  </si>
  <si>
    <t>Реконструкция водоочистных сооружений  и водопроводных сетей в с.Актогай Махамбетского района Атырауской области</t>
  </si>
  <si>
    <t>Реконструкция водоочистного сооружения и строительство внутрипоселковой водопроводной линии в с. Тущыкудук Исатайского района</t>
  </si>
  <si>
    <t>Реконструкция водоочистных сооружений и   водопроводных сетей в с. Жалгансай Махамбетского района Атырауской области</t>
  </si>
  <si>
    <t>№31-03/12 от 19.06.2012</t>
  </si>
  <si>
    <t xml:space="preserve">Реконструкция водоочистных сооружений и внутрипоселковой водопроводных сетей  в с.Алмалы Махамбетского района Атырауской области </t>
  </si>
  <si>
    <t>Реконструкция водоочистных сооружений и водопроводных сетей в с.Алга Махамбетского района Атырауской области</t>
  </si>
  <si>
    <t>№11-06/361-3 от 30.03.2013г</t>
  </si>
  <si>
    <t>Реконстукция водопроводных сетей в селе Акжар Тарбагатайского района ВКО</t>
  </si>
  <si>
    <t>№51 от 15.08.2011г</t>
  </si>
  <si>
    <t>№06-07/юлв-1639 от 10.10.2012 г.</t>
  </si>
  <si>
    <t>Строительство систем водоснабжения а. Байтели района Т.Рыскулова Жамбылской области</t>
  </si>
  <si>
    <t>Строительство систем водоснабжения а.Тасшолак района Т.Рыскулова Жамбылской области</t>
  </si>
  <si>
    <t>146 №29/03/2013</t>
  </si>
  <si>
    <t>№14-0175/12 от 30.07.2012 г.</t>
  </si>
  <si>
    <t>№14-0598/13 от 23.12.2013 г.</t>
  </si>
  <si>
    <t>№544от 04.10.2013 г.</t>
  </si>
  <si>
    <t>Строительство линии подводки водопровода к границам участков потребителей населенного пункта Жанкожа батыр Казалинского района Кызылординской области</t>
  </si>
  <si>
    <t>№14-0605/13 от 25.12.2013г</t>
  </si>
  <si>
    <t>№62-пир от 28.02.2014</t>
  </si>
  <si>
    <t>№465 от 13.11.2013</t>
  </si>
  <si>
    <t>№06-12/3213 от 25.11.2013</t>
  </si>
  <si>
    <t>№07-07/689 от 28.03.2014</t>
  </si>
  <si>
    <t>№1/1-4/12 от 28.03.2014</t>
  </si>
  <si>
    <t>№44-Б от 31.10.2013г</t>
  </si>
  <si>
    <t>№268 от 02.11.2011г</t>
  </si>
  <si>
    <t>№5-14/188 от 13.03.2013г</t>
  </si>
  <si>
    <t>№ 268 от 02.11.2011г</t>
  </si>
  <si>
    <t>№5-14/125 от 12.02.2013г</t>
  </si>
  <si>
    <t>№ от  02.11.2011г</t>
  </si>
  <si>
    <t>Реконструкция существующих водопроводов для обеспечения питьевой водой жителей сел Убаганское, Силантьевка, Щербакова Алтынсаринского района Костанайской области. Корректировка</t>
  </si>
  <si>
    <t>Реконструкция водоснабжения с.Торгай Жангельдинского района Костанайской области</t>
  </si>
  <si>
    <t>Реконструкция участка Тобольского группового водопровода с К.Маркса-Троебратский Узункольского района Костанайской области</t>
  </si>
  <si>
    <t xml:space="preserve">Реконструкция Ишимского группового водопровода с.Узунколь-с.Воскресенка-с.Новопокровка </t>
  </si>
  <si>
    <t>Строительство канализационных сетей в с.Денисовка Денисовского района Костанайской области</t>
  </si>
  <si>
    <t>№01-403/12 от 10.08.2012г</t>
  </si>
  <si>
    <t>12/1-15/юл-б-213 от 14.05.2013г</t>
  </si>
  <si>
    <t>№1405 от 6.12.2013 г.</t>
  </si>
  <si>
    <t>№69 от 21.12.2012</t>
  </si>
  <si>
    <t>№17-0516/12 от 20.09.2012г</t>
  </si>
  <si>
    <t xml:space="preserve">Реконструкция разводящих сетей водоводов и отводов сельских населенных пунктов, подключенных к Булаевскому групповому водопроводу . Село Кантемировское Тайыншинского района Северо- Казахстанской области </t>
  </si>
  <si>
    <t>Алматинская область-10%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</si>
  <si>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с.Ивановка Аккайынского района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</si>
  <si>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села Ленинское  Аккайынского района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</si>
  <si>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с. Черкасское  Аккайынского района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</si>
  <si>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с. Рублевка Аккайынского района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</si>
  <si>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с.Асаново Кызылжарского района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</si>
  <si>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с.Знаменское  Кызылжарского района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</si>
  <si>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с. Трудовое  Аккайынского района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</si>
  <si>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с.  Астраханка  Аккайынского района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</si>
  <si>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а.  Байтерек района М.Жумабаева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</si>
  <si>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с.Лебяжье  района М.Жумабаева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</si>
  <si>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с. Бугровое Кызылжарского района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</si>
  <si>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с.Медвежка  района М.Жумабаева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</si>
  <si>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село Рассвет  Кызылжарского района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</si>
  <si>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с.Дәуіт  Акжарского района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</si>
  <si>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село Тихоокеанское Тайыншинского района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</si>
  <si>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село Бастомар района М.Жумабаева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</si>
  <si>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с.Улгілі Акжарского района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</si>
  <si>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с.Кызылту  Акжарского района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</si>
  <si>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село Чермошнянка Тайыншинского района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</si>
  <si>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с.Аралагаш Аккайынского района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</si>
  <si>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село Конюхово района М.Жумабаева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</si>
  <si>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село Приишимка  Кызылжарского района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</si>
  <si>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Надежка Кызылжарского района Северо-Казахстанской области </t>
  </si>
  <si>
    <t xml:space="preserve">Реконструкция разводящих сетей водоводов и отводов сельских населенных пунктов, подключенных к Булаевскому групповому водопроводу с.Карашилик  Акжарского района Северо-Казахстанской области </t>
  </si>
  <si>
    <t xml:space="preserve">Реконструкция разводящих сетей водоводов и отводов сельских населенных пунктов, подключенных к Булаевскому групповому водопроводу. Село Шункырколь Тайыншинского района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</si>
  <si>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Добровольское  Аккайынского района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</si>
  <si>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с. Новоникольское Светлопольского сельского округа Кызылжарского района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</si>
  <si>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с.Подгорное Кызылжарского аульного округа  Кызылжарского района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</si>
  <si>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с. Красная Горка  Кызылжарского района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</si>
  <si>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c.Майбалык района М.Жумабаева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</si>
  <si>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с.Ленинградское  Акжарского района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</si>
  <si>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с.Ақ-құдық Тайыншинского района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</si>
  <si>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с. Успенка  района М.Жумабаева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</si>
  <si>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с.Қулыкөл Акжарского района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</si>
  <si>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с. Кирово Тайыншинского района  Северо-Казахстанской области </t>
  </si>
  <si>
    <t>№161 б-о от 13.12.2012г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</si>
  <si>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. Село Ильич Тайыншинского района 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</si>
  <si>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водопроводу. Село Кенащы  Акжарского района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</si>
  <si>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водопроводу. Село Киевское  Акжарского района Северо-Казахстанской области </t>
  </si>
  <si>
    <t>№02-15/424 от 28.02.2014г</t>
  </si>
  <si>
    <t>Реконструкция водопроводных сетей и сооружений с.Жана-коныс (старая часть села) г. Актобе</t>
  </si>
  <si>
    <t>№ 5-6/869 от 09.11.2012 г.</t>
  </si>
  <si>
    <t>Строительство объектов водоснабжения в с.Жанатан Байганинского района Актюбинской области</t>
  </si>
  <si>
    <t>№111 от 20.10.2011г</t>
  </si>
  <si>
    <t>№428 от 1.07.2011г</t>
  </si>
  <si>
    <t xml:space="preserve">№6 </t>
  </si>
  <si>
    <t>№244 от 1.11.2013</t>
  </si>
  <si>
    <t>№296 от 11.04.2014</t>
  </si>
  <si>
    <t>№83 от 5.12.2013</t>
  </si>
  <si>
    <t>Строительство водопровода с.Ащысай Чингирлауского района ЗКО</t>
  </si>
  <si>
    <t>№09-0144/14 от 20.03.2014г</t>
  </si>
  <si>
    <t>№295 от 11.04.2014г</t>
  </si>
  <si>
    <t xml:space="preserve">Реконструкция водопроводных сетей ст. Биршогыр Шалкарского района Актюбинской области  </t>
  </si>
  <si>
    <t>№01-08/591 от 15.04.2014</t>
  </si>
  <si>
    <t>№06-11/3622 от 21.08.2011 г.</t>
  </si>
  <si>
    <t xml:space="preserve"> №18-0410/13 от 10.07.2013 г.</t>
  </si>
  <si>
    <t>№30-30/907/2 от 13.08.2012</t>
  </si>
  <si>
    <t xml:space="preserve"> №18-0663/12 от 16.08.2012 г.</t>
  </si>
  <si>
    <t>Реконструкция и строительство Талгарского группового водовода Алматинской оласти (2 этап). Подключение 12-ти сельских населенных пунктов к Талгарскому групповому водоводу (II пусковой комплекс) с. Алмалык, с.Амангелды, с. Байбулак</t>
  </si>
  <si>
    <t>№18-0146/13 от 25.03.13.</t>
  </si>
  <si>
    <t>№572 от 27.11.2012г</t>
  </si>
  <si>
    <t>№381 от 17.11.2011г</t>
  </si>
  <si>
    <t>Реконструкция и строительство систем канализации и КНС в  п. Отеген батыра Илийского  района  Алматинской области</t>
  </si>
  <si>
    <t>№36-26/129 от 22.01.2014г</t>
  </si>
  <si>
    <t>2013-2016</t>
  </si>
  <si>
    <t>Реконструкция системы водоснабжения с.Бостандык Казталовского района ЗКО</t>
  </si>
  <si>
    <t>БҚО Қазталов ауданы Бостандық ауылында сумен жабдықтау жүйесін қайта құру</t>
  </si>
  <si>
    <t>№09-0191/14 от 24.04.2014г</t>
  </si>
  <si>
    <t>№28 от 25.04.2014г</t>
  </si>
  <si>
    <t>№4 от 20.01.2014г</t>
  </si>
  <si>
    <t>№99 от 24.02.2014г</t>
  </si>
  <si>
    <t>№31 от 24.04.2014г</t>
  </si>
  <si>
    <t>№308 от 25.04.2014г</t>
  </si>
  <si>
    <t>Реконструкция системы водоснабжения  с.Акпатер Казталовского района ЗКО</t>
  </si>
  <si>
    <t>БҚО Қазталов ауданы Ақпәтер ауылында сумен жабдықтау жүйесін қайта құру</t>
  </si>
  <si>
    <t>№09-0190/14 от 24.04.2014г</t>
  </si>
  <si>
    <t>№29 от 25.04.2014г</t>
  </si>
  <si>
    <t>№3 от 20.01.2014г</t>
  </si>
  <si>
    <t>№96 от 21.02.2014г</t>
  </si>
  <si>
    <t>№30 от 24.04.2014г</t>
  </si>
  <si>
    <t>№309 от 25.04.2014г</t>
  </si>
  <si>
    <t>БҚО Бөкей ордасы ауданы Көктерек ауылының су құбырының құрылысы</t>
  </si>
  <si>
    <t>№09-0184/14 от 18.04.2014г</t>
  </si>
  <si>
    <t>№47 от 23.04.2014г</t>
  </si>
  <si>
    <t>№15 от 14.01.2014г</t>
  </si>
  <si>
    <t>№15 от 22.01.2014г</t>
  </si>
  <si>
    <t>№28 от 22.04.2014г</t>
  </si>
  <si>
    <t>№301 от 25.04.2014г</t>
  </si>
  <si>
    <t>БҚО Бөкей ордасы ауданы Бөрлі ауылының су құбырының құрылысы</t>
  </si>
  <si>
    <t>№09-0181/14 от 15.04.2014г</t>
  </si>
  <si>
    <t>№46 от 22.04.2014</t>
  </si>
  <si>
    <t>№28 от 30.01.2014г</t>
  </si>
  <si>
    <t>№77 от 12.02.2014г</t>
  </si>
  <si>
    <t>№26 от 22.04.2014г</t>
  </si>
  <si>
    <t>№304 от 25.04.2014г</t>
  </si>
  <si>
    <t>БҚО Бөрлі ауданынАлександровка ауылында су қбырының құрылысы</t>
  </si>
  <si>
    <t>№09-0185/14 от 18.04.2014г</t>
  </si>
  <si>
    <t>№11 от 22.04.2014г</t>
  </si>
  <si>
    <t>№9 от 06.01.2014г</t>
  </si>
  <si>
    <t>№11 от 22.01.2014г</t>
  </si>
  <si>
    <t>№27 от 22.04.2014г</t>
  </si>
  <si>
    <t>№305 от 25.04.2014г</t>
  </si>
  <si>
    <t>Реконструкция водопровода в  с.Александровка Бурлинского района ЗКО</t>
  </si>
  <si>
    <t>БҚО Шыңғырлау ауданы Лубен  ауылында су құбырын қайта құру</t>
  </si>
  <si>
    <t>№09-0189/14 от 24.04.2014г</t>
  </si>
  <si>
    <t>№17 от 25.04.2014г</t>
  </si>
  <si>
    <t>№32 от 7.02.2014г</t>
  </si>
  <si>
    <t>№110 от 24.12.2014г</t>
  </si>
  <si>
    <t>№29 от 24.04.2014г</t>
  </si>
  <si>
    <t>№307 от 25.04.2014г</t>
  </si>
  <si>
    <t>№ 08-0044/12 от 31.01.2012 г.</t>
  </si>
  <si>
    <t>ГЭ № 08-0065/12 от 15.02.2012г.</t>
  </si>
  <si>
    <t>№ 08-0657/11 от 27.12.2011г</t>
  </si>
  <si>
    <t>№ 08-0026/12 от 26.01.2012.</t>
  </si>
  <si>
    <t>№08-0081/12 от28.02.2012г.</t>
  </si>
  <si>
    <t>озеро Балхаш</t>
  </si>
  <si>
    <t>№08-0116/12 от 30.03.2012г</t>
  </si>
  <si>
    <t>Строительство водопровода в с.Жанаталап Бурлинского района (корректировка)</t>
  </si>
  <si>
    <t>БҚО Бөрлі ауданының Жаңаталап ауылын сумен жабдықтау (түзету)</t>
  </si>
  <si>
    <t>Строительство водоприемных сооружений и водопроводной сети а. Жетыбай с подключением их к групповому водопроводу а. Ынтымак Байзакского района Жамбылской области</t>
  </si>
  <si>
    <t>Жамбыл облысы Жамбыл ауданы Айша-бибі ауылының  сумен қамтамасыз ету жүйесін қайта жаңғырту»</t>
  </si>
  <si>
    <t>"Жамбыл облысы Мойынқұм ауданы Мирный, Қияхты елді мекендеріне  су қабылдау имараттарының және су құбырларының құрылысын салу</t>
  </si>
  <si>
    <t>Строительство водоприемных сооружений и водопроводных сетей а.Дихан-2  Мырзатайского сельского округа Байзакского района Жамбылской области</t>
  </si>
  <si>
    <t>Реконструкция водопроводных сетей с. Жетиарал Тарбагатайского района ВКО</t>
  </si>
  <si>
    <t>Костанайская область - 10 %</t>
  </si>
  <si>
    <t>Модернизацияи реконструкция водоочистных сооружений в с. Теренколь Качирского района</t>
  </si>
  <si>
    <t>Пеереходящий</t>
  </si>
  <si>
    <t>Новый</t>
  </si>
  <si>
    <t>Строительство водопровода в городе Ленгер Толебийского района, ЮКО. Подвод водопроводных сетей к потребителям"</t>
  </si>
  <si>
    <t>"ОҚО, Төлеби ауданы Ленгер қаласының су өткізгіштерінің құрылысы. Су өткізгіштер тораптарын тұтынушыларға жеткізу"</t>
  </si>
  <si>
    <t>№19-1057/13 от 9.10.2013г</t>
  </si>
  <si>
    <t>№02-15/2157 от 28.10.2013г</t>
  </si>
  <si>
    <t>№05-3066 от 28.10.2013г</t>
  </si>
  <si>
    <t>№17-6-512 от 26.09.2008г</t>
  </si>
  <si>
    <t>БҚО Шыңғырлау ауданы Тасмола ауылында сумен жабдыөтау жүйесін қайта құру</t>
  </si>
  <si>
    <t>В т.ч.</t>
  </si>
  <si>
    <t>БҚО Қазталов ауданының Жалпақтал ауылындан су құбырын  қайта құру</t>
  </si>
  <si>
    <t>Реконструкция водопроводных сетей и водоотведения  в пос.Шортанды Шортандинского района Акмолинской области(2 очередь)</t>
  </si>
  <si>
    <t>Реконструкция объектов и систем водоснабжения в с.Бирлик Мугалжарского района Актюбинской области</t>
  </si>
  <si>
    <t>Строительство водопроводных сетей в с. Аралтобе Айтекебийского района Актюбинской области</t>
  </si>
  <si>
    <t>Строительство системы водоснабжения в с. Бескоспа Алгинского района  Актюбинской области</t>
  </si>
  <si>
    <t>Строительство объектов водоснабжения в с. Жаркамыс Байганинского района  Актюбинской области</t>
  </si>
  <si>
    <t>Реконструкция системы водоснабжения в с. Жосалы Каргалинского района  Актюбинской области</t>
  </si>
  <si>
    <t>Строительство объектов водоснабжения в с. Талдысай Кобдинского района  Актюбинской области</t>
  </si>
  <si>
    <t xml:space="preserve">Строительство объектов водоснабжения в с. Бестау Кобдинского района Актюбинской области </t>
  </si>
  <si>
    <t>Реконструкция и строительство системы водоснабжения с. Баканас Балхашского района Алматинской области</t>
  </si>
  <si>
    <t>Реконструкция и строительство системы водоснабжения с. Узынагаш Жамбылского района Алматинской области. 2-я очередь. Внутрипоселковая водопроводная сеть</t>
  </si>
  <si>
    <t>Реконструкция и строительство системs водоснабжения с. Акши Енбекшиказахского района Алматинской области</t>
  </si>
  <si>
    <t>Реконструкция и строительство сетей водоснабжения с. Нура Енбекшиказахского района Алматинской области</t>
  </si>
  <si>
    <t>Реконструкция и строительство систем  водоснабжения п.Покровка Илийского района Алматинской области</t>
  </si>
  <si>
    <t xml:space="preserve">Реконструкция и строительство системы водоснабжения с. Жандосово Карасайского района Алматинской области </t>
  </si>
  <si>
    <t>Реконструкция и строительство систем водоснабжения с. Карасаз Райымбекского района Алматинской области</t>
  </si>
  <si>
    <t>Реконструкция и строительство систем водоснабжения с. Талас Райымбекского района Алматинской области</t>
  </si>
  <si>
    <t>Реконструкция и строительство Талгарского группового водовода Алматинской оласти (2-ой этап). Подключение 12 сельских населенных пунктов к Талгарскому групповому водоводу (IV пусковой комплекс) с. Кызылгайрат</t>
  </si>
  <si>
    <t>Строительство водоочистных сооружений  и   водопроводных сетей в с.Ортакшыл Махамбетского  района Атырауской области</t>
  </si>
  <si>
    <t>Реконструкция сетей водоснабжения п.Белоусовка Глубоковского района Восточно-Казахстанской области</t>
  </si>
  <si>
    <t>Реконструкция сетей водоснабжения села Березовка Глубоковского района ВКО</t>
  </si>
  <si>
    <t>Реконструкция сетей водоснабжения с. Зубаир Бородулихинского  района ВКО</t>
  </si>
  <si>
    <t>Реконструкция водопроводных сетей с. Зенковка  Бородулихинского  района ВКО</t>
  </si>
  <si>
    <t>Реконструкция системы водоснабжения поселка Верхнеберезовский Глубоковского района Восточно-Казахстанской области</t>
  </si>
  <si>
    <t>Водопроводные сети и сооружения  в селе Шиликты Зайсанского района Восточно-Казахстанской области</t>
  </si>
  <si>
    <t>Водопроводные сети в селе Аксуат Тарбагатайского района ВКО (завершение строительства)</t>
  </si>
  <si>
    <t>Реконструкция водосннабжения  с. Бозанбай Уланского   района, ВКО</t>
  </si>
  <si>
    <t>Реконструкция водопроводных сетей  в селе Мамай Батыр Уланского   района Восточно-Казахстанской области</t>
  </si>
  <si>
    <t>Строительство водозаборных сооружений и трассы водопроводных сетей в с.Красная Шемонаиха Шемонаихинского района Восточно-Казахстанской области</t>
  </si>
  <si>
    <t>Строительство водозаборных сооружений и трассы водопроводных сетей в с.Рулиха Шемонаихинского района Восточно-Казахстанской области</t>
  </si>
  <si>
    <t>Реконструкция канализационных сетей и канализационные очистные сооружения в с.Курчум Курчумского района Восточно-Казахстанской области</t>
  </si>
  <si>
    <t>Реконструкция   водопровода в с.Фёдоровка Теректинского района ЗКО</t>
  </si>
  <si>
    <t>Реконструкция системы водоотведения с.Дубовка Бухар-Жырауского района</t>
  </si>
  <si>
    <t>Қостанай облысы Алтынсарин ауданының Обаған, Силантьев, Щербаков ауылдарының тұрғындарын ішетін сумен сумен қамтамасыз ету үшін қолданыстағы су құбырларын қайта құрылымдау</t>
  </si>
  <si>
    <t>Қостанай облысы Федоров ауданы Федоров ауылында су құбырының таратушы тораптарын қайта құрылымдау, 2-ші кезек, түзету</t>
  </si>
  <si>
    <t>Қостанай облысы Денисов ауданының Қырым ауылында сумен жабдықтауды қайта жаңарту</t>
  </si>
  <si>
    <t>Реконструкция системы водоснабжения н.п. Турмагамбет Кармакшинского района Кызылординской области (ІІ очередь)</t>
  </si>
  <si>
    <t>Қызылорда облысы Қармақшы ауданы Тұрмағамбет елді мекеніндегі сумен қамту жүйесін қайта жаңғырту (ІІ кезең)</t>
  </si>
  <si>
    <t>Қызылорда облысы Қармақшы ауданы Ақай елді мекеніндегі  сумен жабдықтау жүйесін қайта жаңғырту және кеңейту</t>
  </si>
  <si>
    <t>Строительство водопроводных сетей в пос. Жосалы Кармакшинского района Кызылординской области (4 очередь)</t>
  </si>
  <si>
    <t>Қызылорда облысы Қармақшы ауданы Жосалы  кентінде су құбыры желілерінің  құрылысы" (4-ші кезек)</t>
  </si>
  <si>
    <t>Заявка на 2016 год</t>
  </si>
  <si>
    <t>Заявка на 2017 год</t>
  </si>
  <si>
    <t>«Реконструкция и расширение  системы  водоснабжения  в н.п. Акжарма Сырдарьинского района Кызылординской области»</t>
  </si>
  <si>
    <t>Реконструкция внутрипоселковых сетей поселка Шиели Шиелийского района в составе ЖГВ ІІІ очередь</t>
  </si>
  <si>
    <t>Жиделі топтық су құбыры құрамындағы Шиелі қыстағындағы қыстақішілік су құбыры желілерін қайта құрылымдау. 3-ші кезең.</t>
  </si>
  <si>
    <t>«Реконструкция и расширение  систем водоснабжения  в н.п. Бесарык Сырдарьинского района КЗО»</t>
  </si>
  <si>
    <t>«Реконструкция и расширение  систем водоснабжения  в н.п.Амангельды Сырдарьинского района КЗО»</t>
  </si>
  <si>
    <t>Реконструкция и расширение систем водоснабжения в н.п. Тугускен Жанакорганского  района Кызылординской области</t>
  </si>
  <si>
    <t>Қызылорда облысы Жаңақорған ауданы Түгіскен елді мекенінің сумен қамту жүйесін қайта жаңғырту және кеңейту</t>
  </si>
  <si>
    <t>Қызылорда облысы Сырдария ауданы Амангелды елді мекенінің сумен қамту жүйесін қайта жаңғырту және кеңейту</t>
  </si>
  <si>
    <t>Қызылорда облысы Сырдария ауданы Бесарық елді мекенінің сумен қамту жүйесін қайта жаңғырту және кеңейту</t>
  </si>
  <si>
    <t>Қызылорда облысы Сырдария ауданы Ақжарма елді мекенінің сумен қамту жүйесін қайта жаңғырту және кеңейту</t>
  </si>
  <si>
    <t>Реконструкция водопровода в селе Пограничник и подводка водопроводной сети непосредственно к границам участков потребителей с установкой приборов учета</t>
  </si>
  <si>
    <t>Реконструкция водопровода в с. Жолкудук и подводка водопроводной сети непосредственно к границам участков потребителей с установкой приборов учета</t>
  </si>
  <si>
    <t>Реконструкция разводящих сетей, водоводов и отводов сельских населенных пунктов, подключенных к Булаевскому групповому водопроводу с.Новоникольское Новоникольского сельского округа   Кызылжарского района Северо-Казахстанской   области</t>
  </si>
  <si>
    <t>Солтүстік Қазақстан облысы М.Жұмабаев ауданының Медвежка селосында Булаев топтық су құбырына қосылған селолық елді мекендердің таратушы желілерінің, су тартқыштарын және су ағызғыларын қайта жаңарту</t>
  </si>
  <si>
    <t>Булаев топтық су құбырына қосылған ауылдық елді мекендердің су таратқыштары мен бұрмаларын, тарату желілерін қайта жаңарту. Солтүстік Қазақстан облысының Тайынша ауданы Тынық мұхит  ауылы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</si>
  <si>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село Казанское Акжарского района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</si>
  <si>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с.  Водопроводное  Кызылжарского района Северо-Казахстанской области </t>
  </si>
  <si>
    <t xml:space="preserve">Реконструкция разводящих сетей, водоводов и отводов сельских населенных пунктов, подключенных к Булаевскому групповому водопроводу село Талшық Акжарского района Северо-Казахстанской области </t>
  </si>
  <si>
    <t>"Булаев топтық су құбырына қосылған ауылдық елді мекендердің су тартқыштары мен бұрмаларын, тарату желілерін қайта жаңарту. Солтүстік Қазақстан облысының Ақжар ауданы Талшық ауылы"</t>
  </si>
  <si>
    <t>Булаев топтық су құбырына қосылған ауылдық елді мекендердің су таратқыштары мен бұрмаларын, тарату желілерін қайта жаңарту. Солтүстік Қазақстан облысының Ақжар ауданы Кенащы ауылы</t>
  </si>
  <si>
    <t xml:space="preserve">Строительство разводящей сетей, водопровода с площадкой водопроводных сооружений в с.Докучаево Тимирязевского района Северо-Казахстанской области </t>
  </si>
  <si>
    <t>экспертное заключение №53ПВ-13-07-Ю от 27.01.2014г</t>
  </si>
  <si>
    <t>протокол №2334 от 28.06.2011г</t>
  </si>
  <si>
    <t>№94 от 21.10.2013г</t>
  </si>
  <si>
    <t>№93/3058 от 11.11.2008г</t>
  </si>
  <si>
    <t>ОҚО Шардара ауданы                               Қ. Тұрысбеков ауыл округі Шардара ауылында  су өткізгіштер желілерінің құрылысы</t>
  </si>
  <si>
    <t>№10 от 10,01,2011г</t>
  </si>
  <si>
    <t>№21 от 25,02,2013г</t>
  </si>
  <si>
    <t>не имеется подтверждения запасов воды</t>
  </si>
  <si>
    <t>№84 от 21.12.2012г</t>
  </si>
  <si>
    <t>№187 от 26.09.2011г</t>
  </si>
  <si>
    <t>№З/Т-Б-821 от 13.10.2011г</t>
  </si>
  <si>
    <t>№29 от 26.02.2011г</t>
  </si>
  <si>
    <t>справка №14-261 от 28.03.2014г</t>
  </si>
  <si>
    <t>№83 от 21.12.2012г</t>
  </si>
  <si>
    <t>№188 от 26.09.2011г</t>
  </si>
  <si>
    <t>№З/Т-Б-822 от 13.10.2011г</t>
  </si>
  <si>
    <t>№25 от 21.02.2011г</t>
  </si>
  <si>
    <t>справка №14-262 от 28.03.2014г</t>
  </si>
  <si>
    <t>№58 от 27.12.2011г</t>
  </si>
  <si>
    <t>№208 от 10.10.2011г</t>
  </si>
  <si>
    <t>№З/Т-С-869</t>
  </si>
  <si>
    <t>№39 от 10.04.2012г</t>
  </si>
  <si>
    <t>№93 от 14.04.2010г</t>
  </si>
  <si>
    <t>№З/Т-1096 от 14.01.2011г</t>
  </si>
  <si>
    <t>№15 от 30.03.2012г</t>
  </si>
  <si>
    <t>№82 от 02.08.2011г</t>
  </si>
  <si>
    <t>№З/Т-Б-707 от 06.09.2011г; З/Т-Б-708 от 06.09.2011г</t>
  </si>
  <si>
    <t>№29 от 17.02.2011г</t>
  </si>
  <si>
    <t>№09-0196/14 от 29.04.2014г</t>
  </si>
  <si>
    <t>№21 от 27.05.2014г</t>
  </si>
  <si>
    <t>№131 от 26.03.2014г</t>
  </si>
  <si>
    <t>№ЗТ-И-251 от 03.04.2014г</t>
  </si>
  <si>
    <t>№32 от 05.05.2014г</t>
  </si>
  <si>
    <t>№316 от 28.05.2014г</t>
  </si>
  <si>
    <t>№09-0183/13 от 06.05.2013г</t>
  </si>
  <si>
    <t>№ 11 от 06.05.2013г</t>
  </si>
  <si>
    <t>№000030 от 07.12.2012г</t>
  </si>
  <si>
    <t>№1344-ю от 15.09.2009г</t>
  </si>
  <si>
    <t>№ 11 от 22.05.2013г</t>
  </si>
  <si>
    <t>№ 195 от 12.06.2013г</t>
  </si>
  <si>
    <t>№16/4-08/898 от 13.05.2014г</t>
  </si>
  <si>
    <t>№16/4-08/899 от 13.05.2014г</t>
  </si>
  <si>
    <t>№16/4-08/897 от 13.05.2014г</t>
  </si>
  <si>
    <t>№01-06/32 от 01.03.2013г</t>
  </si>
  <si>
    <t>б/н от 12.02.2014 г.</t>
  </si>
  <si>
    <t>б/н от 19.02.2014 г.</t>
  </si>
  <si>
    <t>б/н от 18,02,2014 г</t>
  </si>
  <si>
    <t>б/н от 14,02,2014 г.</t>
  </si>
  <si>
    <t>№02 от 28.01.2014г</t>
  </si>
  <si>
    <t>б/н от 10,02,2014г</t>
  </si>
  <si>
    <t>б/н от 17.02.2014г</t>
  </si>
  <si>
    <t>б/н от 17,02,2014 г</t>
  </si>
  <si>
    <t>б/н от 14.02.2014г</t>
  </si>
  <si>
    <t>б/н от 30.01.2014г</t>
  </si>
  <si>
    <t>письмо КГН №22-03/1-1462-КГН от 12,04,2014 г.</t>
  </si>
  <si>
    <t>Протокол №1038-11-У от 10 марта 2011г</t>
  </si>
  <si>
    <t>протокол №2751 от 03.10.13г</t>
  </si>
  <si>
    <t>№25-06-25/ 5277/3866 от 25.11.13г</t>
  </si>
  <si>
    <t>протокол ГКЗ №4 от 26.09.1993,нет временного разрешения</t>
  </si>
  <si>
    <t>река Шамалган БВИ от 05.03.2014г №19-08-09/622</t>
  </si>
  <si>
    <t>протокол №973-10-У от 11.10.2010г</t>
  </si>
  <si>
    <t>№81 от 3.07.2013г</t>
  </si>
  <si>
    <t>Талгарский групповой водовод</t>
  </si>
  <si>
    <t>водоотведение-подтверждение не требуется</t>
  </si>
  <si>
    <t>№17 от03.06.2014г</t>
  </si>
  <si>
    <t>25-06-25/4824/3526 от31.10.13г</t>
  </si>
  <si>
    <t>№05-0282/12 от 23.07.2012</t>
  </si>
  <si>
    <t>БВИ №24-13-04-15/148 от 11.03.2012г</t>
  </si>
  <si>
    <t>БВИ №24-012-04.15/135 от 05,03,2012</t>
  </si>
  <si>
    <t>№050-148/12 от 27.04.2012г</t>
  </si>
  <si>
    <t>Договор от 6.12.2013г№ wdw 3512014</t>
  </si>
  <si>
    <t>Договор от 13.01.2014г № wdw 6512014</t>
  </si>
  <si>
    <t>Договор от 6.12.2013г № wdw 3512014</t>
  </si>
  <si>
    <t>БВИ №19-13-04-15/485  от 2.08.2012г</t>
  </si>
  <si>
    <t>БВИ №19-13-04-15/480 от 1.08.2012г</t>
  </si>
  <si>
    <t>БВИ №19-13-04-15/485 от 2.08.2012г</t>
  </si>
  <si>
    <t>№31-03/17 от 24.09.2012г</t>
  </si>
  <si>
    <t>Протокол  ГКЗ №586 от 20.04.2012г</t>
  </si>
  <si>
    <t>Письмо КГН №17-03/3007-кгн от 04.09.2012г</t>
  </si>
  <si>
    <t>Протокол ГКЗ №564 от 17.11.2011г</t>
  </si>
  <si>
    <t xml:space="preserve"> Протокол №564 от 17.11.2011г</t>
  </si>
  <si>
    <t>Протокол №1364-13-У от 12.12.2013г</t>
  </si>
  <si>
    <t>письмо КГН №17-03/3007-кгн от 4.09.2012</t>
  </si>
  <si>
    <t>Протокол №9074 от 29.09.1982г, Письмо №17-03/2996 КГН от 23,08,2012г</t>
  </si>
  <si>
    <t>Протокол ГКЗ №335-04-у от 24.09.2004г</t>
  </si>
  <si>
    <t>Протокол№600 от 13.12.2012г</t>
  </si>
  <si>
    <t>Письмо КГН №17-03/3007 -кгн от 4.09.2012</t>
  </si>
  <si>
    <t>Протокол №623 от 02.08.2013г</t>
  </si>
  <si>
    <t>Протокол №621 от 02.08.2013г</t>
  </si>
  <si>
    <t>Протокол №564 от 17.11.2011г</t>
  </si>
  <si>
    <t>Протокол №561 от 07.10.2011г</t>
  </si>
  <si>
    <t>№06-12/2723 от5.12.13г</t>
  </si>
  <si>
    <t>Разрешение БВИ №08 от 05.08.12г</t>
  </si>
  <si>
    <t>№36 от 11,04,2012 г</t>
  </si>
  <si>
    <t>№З/Т-Б-1066 от 29 ноября 2011г</t>
  </si>
  <si>
    <t>письмо КГН №17-03-407 от 12.09.2012г</t>
  </si>
  <si>
    <t xml:space="preserve"> пруд Бобровский</t>
  </si>
  <si>
    <t>письмо КГН№19-15-16/478 от 10.04.2013г</t>
  </si>
  <si>
    <t>Протокол №93 от 08.11.2013г</t>
  </si>
  <si>
    <t>№21от 2.04.2014г</t>
  </si>
  <si>
    <t>Протокол №14 от 24.11.2011 г.</t>
  </si>
  <si>
    <t>№22от 2.04.2014г</t>
  </si>
  <si>
    <t>Протокол №720 от 2.12.2008</t>
  </si>
  <si>
    <t>письмо КГН №17-03/10718 от 06.06.2013 г.</t>
  </si>
  <si>
    <t>№20 от 10.02.2014</t>
  </si>
  <si>
    <t>Протокол №14 от 24.11.2011г.</t>
  </si>
  <si>
    <t>№24 от 2.04.2014г</t>
  </si>
  <si>
    <t>Протокол №780 от 04.11.2009 г.</t>
  </si>
  <si>
    <t>письмо КГН №17-15-24/1508 от 26.12.2013</t>
  </si>
  <si>
    <t>№23 от 4.02.2014г</t>
  </si>
  <si>
    <t>№25 от 2.04.2014г</t>
  </si>
  <si>
    <t>письмо №17-03-607И от 18.04.13 г.</t>
  </si>
  <si>
    <t>№59 от 20.06.2014 г</t>
  </si>
  <si>
    <t>№172 от 22.04.2014 г</t>
  </si>
  <si>
    <t>№256 от 11.05.2014г</t>
  </si>
  <si>
    <t>№33 от 17.06.2014г</t>
  </si>
  <si>
    <t>№317 от 23.06.2014г</t>
  </si>
  <si>
    <t>поверхностный источник р.Малый Узень письмо №17-15-24/05 от 06.01.2014г</t>
  </si>
  <si>
    <t>поверхностный источник ,р.Большой Узень письмо №17-15-24 от 11.11.2013г</t>
  </si>
  <si>
    <t>Протокол №780 от 04.11.2009г</t>
  </si>
  <si>
    <t>письмо №17-03/2773-КГН от 05.09.2012г</t>
  </si>
  <si>
    <t>протокол №583-з от 29.12.1990</t>
  </si>
  <si>
    <t>не требуется-водоотведение</t>
  </si>
  <si>
    <t>Протокол №816-09-У от 06.04.2009г</t>
  </si>
  <si>
    <t>№04-1267 от15.06.2005г</t>
  </si>
  <si>
    <t>Ишимский групповой водовод</t>
  </si>
  <si>
    <t>№02-03-4410/Б-1905 от 13.10.11г</t>
  </si>
  <si>
    <t>Протокол №34 от 30.09.2009г</t>
  </si>
  <si>
    <t>№34 от 6.09.2012 г</t>
  </si>
  <si>
    <t>№13-0102/12 от 21.07.2011г</t>
  </si>
  <si>
    <t>БВИ разрешение на спецводопользование №49 от 17.09.2010г</t>
  </si>
  <si>
    <t xml:space="preserve">  №27 от 24.08.2011г</t>
  </si>
  <si>
    <t>Протокол №483 от 28.09.1989г</t>
  </si>
  <si>
    <t>Протокол №14 от 9.08.2012г</t>
  </si>
  <si>
    <t>Протокол №21 от 24.07.2007г</t>
  </si>
  <si>
    <t>Протокол№611 от 23.06.2005г</t>
  </si>
  <si>
    <t>№29 от 12.07. 2013г</t>
  </si>
  <si>
    <t>Протокол №33 от 17.09.2009г</t>
  </si>
  <si>
    <t>Ту №44 от 25.04.13г</t>
  </si>
  <si>
    <t>Тоболский группвой водопровод</t>
  </si>
  <si>
    <t>Магистарльная сеть г. Байконур №3145-13 от 21.12.2012г</t>
  </si>
  <si>
    <t>№14-0467/12 от 21.12.2012г</t>
  </si>
  <si>
    <t>№43 от 24.12.2012г</t>
  </si>
  <si>
    <t>№07-18/331 от 8.02.20131г</t>
  </si>
  <si>
    <t>временное разрешение КГН МИНТ РК №100пв-13-07-к от26.02.2014г</t>
  </si>
  <si>
    <t>№14-0538/12 от 29.12.2012г</t>
  </si>
  <si>
    <t>№1071-11-У от25.05.2011г</t>
  </si>
  <si>
    <t>№4 от 3.01.2013г</t>
  </si>
  <si>
    <t>№07-09/499 от22.02.2013г</t>
  </si>
  <si>
    <t>письмо КГН  №14-12К-162 от 06.03.2012г</t>
  </si>
  <si>
    <t>18/104 от29.07.09</t>
  </si>
  <si>
    <t>№14-0535/12 от29,12,12г</t>
  </si>
  <si>
    <t>№2 от 3.01.13г</t>
  </si>
  <si>
    <t>№18/150 от 3.11.2009</t>
  </si>
  <si>
    <t>№07-07/508 от23.02.2013г</t>
  </si>
  <si>
    <t>№07-18/564 от27.02.2013г</t>
  </si>
  <si>
    <t>письмо КГН №14-12К-167 от 07.03.2012г</t>
  </si>
  <si>
    <t>№01-4254 от 29.11.11г</t>
  </si>
  <si>
    <t>протокол №14-02-961 от 10.06.2011г</t>
  </si>
  <si>
    <t>№006 от 14.11.2011г</t>
  </si>
  <si>
    <t>№204 от15.04.2014г</t>
  </si>
  <si>
    <t>№14-0295/11 от 9.09.2011г</t>
  </si>
  <si>
    <t>Проткол №1927 от26.09.2013г</t>
  </si>
  <si>
    <t>№50 от 22.10.2011г</t>
  </si>
  <si>
    <t>№06-06/2361 от 10.09.2012</t>
  </si>
  <si>
    <t>№07-19/531 от 26.02.2013г</t>
  </si>
  <si>
    <t>№07-18/508 от 7.03.2012г</t>
  </si>
  <si>
    <t>№14-0471/11 от 29,12,11г</t>
  </si>
  <si>
    <t>экспертное заключение №17-06-13-и от 09.01.2012г</t>
  </si>
  <si>
    <t>№ 77 от 10,01,12</t>
  </si>
  <si>
    <t>№71 от 15,07,2008г</t>
  </si>
  <si>
    <t>№01-04/2531 от 29,08,08</t>
  </si>
  <si>
    <t>протокол №892-09-У от 10.12.2009г.</t>
  </si>
  <si>
    <t>ТУ №190 от 14.11.2011г</t>
  </si>
  <si>
    <t>№50-ө от 06.06.2012г</t>
  </si>
  <si>
    <t>ТУ №192 от 14.11.11</t>
  </si>
  <si>
    <t>ТУ №606 от 31.05.2012г</t>
  </si>
  <si>
    <t>ТУ №278 от 28.08.2012г</t>
  </si>
  <si>
    <t>Ту№191 от 14.11.11</t>
  </si>
  <si>
    <t>Ту№188 от14.11.11</t>
  </si>
  <si>
    <t>№1553 от 09,12,11</t>
  </si>
  <si>
    <t>ТУ №80/01 от 04.05.2011г</t>
  </si>
  <si>
    <t>ТУ №339 от 19.09.2012г</t>
  </si>
  <si>
    <t>ТУ №189 от14.11.11</t>
  </si>
  <si>
    <t>река Иртыш БВИ №ЮЛБ13-9-15 от25.01.2012г</t>
  </si>
  <si>
    <t>№2-07/411 от 8.01.2013г</t>
  </si>
  <si>
    <t>Протокол №1405 от 06.12.2013г</t>
  </si>
  <si>
    <t>не требуется-канализация</t>
  </si>
  <si>
    <t>№2-14/176 от 03.03.2014г</t>
  </si>
  <si>
    <t>Т/у №185 от 04.07.2012г</t>
  </si>
  <si>
    <t>техусловия №10 2.09.2011г</t>
  </si>
  <si>
    <t>тех условия №10 от 02.09.2011г</t>
  </si>
  <si>
    <t>тех условия№11 от 11.10.2011г</t>
  </si>
  <si>
    <t>тех условия №9 от 22.08.2012г</t>
  </si>
  <si>
    <t>тех условия №10 от 2.09.2011г</t>
  </si>
  <si>
    <t>тех условия №9 от 20.07.2011г</t>
  </si>
  <si>
    <t>тех условия №11 от 11.10.2011г</t>
  </si>
  <si>
    <t>тех условия  №11 от 11.10.2011г</t>
  </si>
  <si>
    <t>тех условия №19-15-25/25-967 от 26.06.2012г</t>
  </si>
  <si>
    <t>№17-0374/12 от 03.07.2012г</t>
  </si>
  <si>
    <t>тех условия №6 от 15.07.2013г</t>
  </si>
  <si>
    <t>т/у№10 от 2.09.2011г</t>
  </si>
  <si>
    <t>т/у№11 от 11.10.2011г</t>
  </si>
  <si>
    <t>река Аксай отсутствует разрешение</t>
  </si>
  <si>
    <t xml:space="preserve"> -каптаж БВИ №190802/490 от15.02.2013г</t>
  </si>
  <si>
    <t>протокол №33 от 17.09.2009г</t>
  </si>
  <si>
    <t>№19-1071/12 от 28,12,2012г</t>
  </si>
  <si>
    <t>№176-889 от 23,08,2012г</t>
  </si>
  <si>
    <t>строительство водопровода в с.Актогай Актогайского района Павлодарской области с подводами воды границами домов (2 этап)</t>
  </si>
  <si>
    <t>ШҚО Тарбағатай ауданы Жеті арал  селосының су құбырын қайта жаңарту</t>
  </si>
  <si>
    <t>БҚО Бөрлі ауданын Сайқын ауылында су қбырының құрылысы</t>
  </si>
  <si>
    <t>БҚО Қазталов ауданының Жаңажол  ауылындан су құбырын  қайта құру</t>
  </si>
  <si>
    <t>БҚО Қазталов ауданы Қайыңды  ауылында сумен жабдықтау жүйесін қайта құру</t>
  </si>
  <si>
    <t>Строительство сетей водоснабжения жилых массивов с.Атамекен</t>
  </si>
  <si>
    <t>Павлодар облысы, Ақтоғай  ауданы,  Ақтоғай селосында үйлердің шекараларына су тарту құбырының құрылысы (2-ші кезең)</t>
  </si>
  <si>
    <t>Павлодар облысы Ертіс ауданы Панфилов  селосы су құбырын қайта жаңарту</t>
  </si>
  <si>
    <t>Павлодар облысы Баянауыл ауданының  Баянауыл ауылында су құбырын салу</t>
  </si>
  <si>
    <t>Қашыр ауданы Тереңкөл селосы су тазарту имараттарын қайта жағырту және қайта жаңарту</t>
  </si>
  <si>
    <t>ПРИНЕСЛИ</t>
  </si>
  <si>
    <t>№01-0366/14 от 4.07.2014г</t>
  </si>
  <si>
    <t>№304-ПИРот 25.07.2014г</t>
  </si>
  <si>
    <t>№21 от 18.03.2013 г</t>
  </si>
  <si>
    <t>от 10.06.2014 г</t>
  </si>
  <si>
    <t>№12/6-08/755 от 15.07.2014 г.</t>
  </si>
  <si>
    <t>№16/4-08/1385 от16.07.2014 г</t>
  </si>
  <si>
    <t>экономия</t>
  </si>
  <si>
    <t>конкурсная                  ст-ть</t>
  </si>
  <si>
    <t>535920-безсмр</t>
  </si>
  <si>
    <t>337599 безсмр</t>
  </si>
  <si>
    <t>2015-2017</t>
  </si>
  <si>
    <t>Бюджетная заявка МИО РБ тыс.тенге</t>
  </si>
  <si>
    <t xml:space="preserve">. </t>
  </si>
  <si>
    <t>Строительство водопроводных сетей в селе Шардара с/о К.Турысбеков Шардаринского района ЮКО</t>
  </si>
  <si>
    <t>переходящие</t>
  </si>
  <si>
    <t>доступ в 2015г</t>
  </si>
  <si>
    <t>доступ по новым объектам(стр-во)</t>
  </si>
  <si>
    <t>№16-0301/14 от 30.05.2014г</t>
  </si>
  <si>
    <t>Протокол №1405 от 6.12.2013г</t>
  </si>
  <si>
    <t>№149 от14.07.2014г</t>
  </si>
  <si>
    <t>№28 от26.07.2012г</t>
  </si>
  <si>
    <t>№12/1-15/ЮЛ-С-547 от3.08.2012г</t>
  </si>
  <si>
    <t>№12/6 -08/757от 15.07.2014г</t>
  </si>
  <si>
    <t>№16/4-08/1384 от16.07.2014г</t>
  </si>
  <si>
    <t>№160402/14 от 16.07.2014 г.</t>
  </si>
  <si>
    <t>№26 от 16.07.2014г</t>
  </si>
  <si>
    <t>№105 от 19.12.2012 г.</t>
  </si>
  <si>
    <t>№12/1-15/юл-б-1 от 28.11.2012г</t>
  </si>
  <si>
    <t>№12/6-08/756 от 16.07.2014г</t>
  </si>
  <si>
    <t>№1614-08/1398 от 17.07.2014г</t>
  </si>
  <si>
    <t>Год</t>
  </si>
  <si>
    <t>Вид данных (прогноз, план, отчет)</t>
  </si>
  <si>
    <t>Функциональная группа</t>
  </si>
  <si>
    <t>Администратор программ</t>
  </si>
  <si>
    <t>Государственное учреждение</t>
  </si>
  <si>
    <t>Программа</t>
  </si>
  <si>
    <t>Специфика</t>
  </si>
  <si>
    <t>план</t>
  </si>
  <si>
    <t>Целевые трансферты на развитие областным бюджетам на развитие системы водоснабжения и водоотведения в сельских населенных пунктах</t>
  </si>
  <si>
    <t>Целевые трансферты на развитие другим уровням государственного управления</t>
  </si>
  <si>
    <t>Министерство национальной экономики Республики Казахстан</t>
  </si>
  <si>
    <t>07</t>
  </si>
  <si>
    <t>243</t>
  </si>
  <si>
    <t>0001</t>
  </si>
  <si>
    <t>032</t>
  </si>
  <si>
    <t>Вице-министр</t>
  </si>
  <si>
    <t>Ответственный секретарь</t>
  </si>
  <si>
    <t>К. Ускенбаев</t>
  </si>
  <si>
    <t>Д. Вагапов</t>
  </si>
  <si>
    <t>Строительство системы водопроодных сетей с водозаборными сооружениями в а.Кайынды района Т.Рыскулова Жамбылской области</t>
  </si>
  <si>
    <t>Жамбыл облысы Т.Рысқұлов ауданы Қайынды ауылында су шығару имараттарымен су құбыры желілерінің жүйесі құрылысын салу</t>
  </si>
  <si>
    <t>№08-0089/14 от 30.04.2014 г.</t>
  </si>
  <si>
    <t>№53 от 14.03.2014 г.</t>
  </si>
  <si>
    <t>№KZ52VDC00005731 от 26.04.2014 г.</t>
  </si>
  <si>
    <t>№46 от 06.04.2014 г.</t>
  </si>
  <si>
    <t>Экспертное заключение</t>
  </si>
  <si>
    <t>Реконструкция водопровода с.Сайхин Бокейординского района ЗКО</t>
  </si>
  <si>
    <t>№09-0195/14 от 28.04.2014 года</t>
  </si>
  <si>
    <t>№50 от 4.05.2014 г.</t>
  </si>
  <si>
    <t>№27 от 30.01.2014 г.</t>
  </si>
  <si>
    <t>№80 от 12.02.2014 г.</t>
  </si>
  <si>
    <t>ТУ №17-15-24/554Т от 28.10.2013 г. Урдинский ГВ</t>
  </si>
  <si>
    <t>№4 от 21.07.2014 г.</t>
  </si>
  <si>
    <t>№34 от 17.07.2014 г.</t>
  </si>
  <si>
    <t>№09-0314/14 от 19.06.2014 г.</t>
  </si>
  <si>
    <t>БВИ №19-13-04-27/100 от 16.04.2013 г. Поверхностные источники</t>
  </si>
  <si>
    <t>№59/1 от 20.06.2014 г.</t>
  </si>
  <si>
    <t>№113 от 11.03.2014 г.</t>
  </si>
  <si>
    <t>№176 от 27.03.2014 г.</t>
  </si>
  <si>
    <t>№35 от 17.07.2014 г.</t>
  </si>
  <si>
    <t>№6 от 21.07.2014 г.</t>
  </si>
  <si>
    <t>№09-0203/14 от 6.05.2014 г.</t>
  </si>
  <si>
    <t>№34/3 от 12.05.2014 г.</t>
  </si>
  <si>
    <t>№2 от 16.01.2014 г.</t>
  </si>
  <si>
    <t>№98 от 21.02.2014 г.</t>
  </si>
  <si>
    <t>№25-01-20/46 от 14.01.2014 г. Справка об уровне воды на поверхностном источнике,р.Большой Узень</t>
  </si>
  <si>
    <t>№36 от 17.07.2014 г.</t>
  </si>
  <si>
    <t>№5 от 21.07.2014 г.</t>
  </si>
  <si>
    <t>№06-0227/14 от 22.08.2014 г.</t>
  </si>
  <si>
    <t>№644 от 13.12.2013 г.</t>
  </si>
  <si>
    <t>№6 от 25.08.2014 г.</t>
  </si>
  <si>
    <t>№29 от 23.05.2014 г.</t>
  </si>
  <si>
    <t>№06-07/2762</t>
  </si>
  <si>
    <t>№05-15/703 от 15.08.2014 г.</t>
  </si>
  <si>
    <t>№07-21/1333 от 14.08.2014 г.</t>
  </si>
  <si>
    <t>Разница 2015 год</t>
  </si>
  <si>
    <t>Первоначальная заявка на 2015 год</t>
  </si>
  <si>
    <t>Первоначальная заявка на 2016 год</t>
  </si>
  <si>
    <t>Первоначальная заявка на 2017 год</t>
  </si>
  <si>
    <t>Разница на 2017 год</t>
  </si>
  <si>
    <t>Разница на 2016 год</t>
  </si>
  <si>
    <t>№16-0396/14 от 11.07.2014</t>
  </si>
  <si>
    <t>№1405 от 06.12.2013</t>
  </si>
  <si>
    <t>№26 от 15.07.2014г</t>
  </si>
  <si>
    <t>№65 от 28.04.2014</t>
  </si>
  <si>
    <t>от 02.06.2014</t>
  </si>
  <si>
    <t>№12/6-08/754 от 15.07.2014</t>
  </si>
  <si>
    <t>№16/4-08/1383 от 16.07.2014</t>
  </si>
  <si>
    <t>№09-0289/14 от 4.06.2014 года</t>
  </si>
  <si>
    <t xml:space="preserve">  №18-0108/12 от 10.02.2012 г.</t>
  </si>
  <si>
    <t xml:space="preserve">И. о. Директора  </t>
  </si>
  <si>
    <t>Д. Керимрай</t>
  </si>
  <si>
    <t>Реконструкция системы канализации села Железинка Железинского  района</t>
  </si>
  <si>
    <t>,</t>
  </si>
  <si>
    <t>План ввода</t>
  </si>
  <si>
    <t>Переходящий</t>
  </si>
  <si>
    <t>Строительство водопровода в с. Бирлик Заринского сельского округа</t>
  </si>
  <si>
    <t>Зарин селолық округі Бірлік селосында су құбырының құрылысы</t>
  </si>
  <si>
    <t>Строительство водопровода в селе Богдановка Луганского сельского округа Павлодарского района</t>
  </si>
  <si>
    <t>Павлодар ауданы Луганск селолық округі Богдановка селосында су құбырының құрылысы</t>
  </si>
  <si>
    <t>Строительство водопровода в селе Караколь Чернорецского сельского округа Павлодарского района</t>
  </si>
  <si>
    <t>Павлодар ауданы Чернорецк селолық округі Қаракөл селосында су құбырының құрылысы</t>
  </si>
  <si>
    <t>Строительство водопровода в с. Абжан (с.Алга) Актогайского района Павлодарской области</t>
  </si>
  <si>
    <t>Павлодар облысы Ақтоғай ауданы Абжан (Алға) селосында су құбырының құрылысы</t>
  </si>
  <si>
    <t>Строительство водопровода в селе Отес Актогайского района  Павлодарской области</t>
  </si>
  <si>
    <t>Павлодар облысы Ақтоғай ауданы Отес селосында су құбырының құрылысы</t>
  </si>
  <si>
    <t>Строительство водопровода в селе Жанабет Актогайского района Павлодарской области</t>
  </si>
  <si>
    <t>Павлодар облысы Ақтоғай ауданы Жанабет селосында су құбырын салу</t>
  </si>
  <si>
    <t>Строительство водопровода в селе Жолболды Актогайского района Павлодарской области</t>
  </si>
  <si>
    <t>Павлодар облысы Ақтоғай ауданы Жолболды селосында су құбырын салу</t>
  </si>
  <si>
    <t>Строительство водопровода в селе Мынкуль Железинского района Павлодарской области</t>
  </si>
  <si>
    <t>Павлодар облысы Железинка ауданы Мыңкөл селосында су құбырының құрылысы</t>
  </si>
  <si>
    <t>Строительство водопровода в селе Крупское Железинского района Павлодарской области</t>
  </si>
  <si>
    <t>Павлодар облысы Железинка ауданы Крупское селосында су құбырының құрылысы</t>
  </si>
  <si>
    <t>Строительство водопровода в селе Аққайың Железинского района Павлодарской области</t>
  </si>
  <si>
    <t>Павлодар облысы Железинка ауданы Аққайың селосында су құбырының құрылысы</t>
  </si>
  <si>
    <t>Строительство водопровода в с.Андрияновка Актогайского района Павлодарской области</t>
  </si>
  <si>
    <t>Павлодар облысы Ақтоғай ауданы Андриановка ауылында су құбырының құрылысы</t>
  </si>
  <si>
    <t>Строительство водопровода в с.Приреченск Актогайского района Павлодарской области</t>
  </si>
  <si>
    <t>Павлодар облысы Ақтоғай ауданы Приреченск ауылында су құбырының құрылысы</t>
  </si>
  <si>
    <t>ПСД с ГЭ №16-0711/14 от 01.11.2014 г.</t>
  </si>
  <si>
    <t>ПСД с ГЭ №16-0712/14 от 01.11.2014 г.</t>
  </si>
  <si>
    <t>ПСД с ГЭ №16-0713/14 от 01.11.2014 г.</t>
  </si>
  <si>
    <t>ПСД с ГЭ №16-0734/14 от 11.11.2014 г.</t>
  </si>
  <si>
    <t>ПСД с ГЭ №16-0733/14 от 11.11.2014 г.</t>
  </si>
  <si>
    <t>ПСД с ГЭ №16-0752/14 от 14.11.2014 г.</t>
  </si>
  <si>
    <t>ПСД с ГЭ №16-0751/14 от 14.11.2014 г.</t>
  </si>
  <si>
    <t>ПСД с ГЭ №16-0702/14 от 30.10.14г.</t>
  </si>
  <si>
    <t>ПСД с ГЭ №16-0701/14 от 30.10.14г.</t>
  </si>
  <si>
    <t>ПСД с ГЭ №16-0700/14 от 30.10.14г.</t>
  </si>
  <si>
    <t>ПСД с ГЭ №16-0766/14 от 20.11.14г.</t>
  </si>
  <si>
    <t>ПСД с ГЭ №16-0768/14 от 20.11.14г.</t>
  </si>
  <si>
    <t>Протокол №1148 от 12.12.2008г</t>
  </si>
  <si>
    <t>№ 32 от 18.11.2014 г.</t>
  </si>
  <si>
    <t>№1-18/79 от 23.05.2014 г.</t>
  </si>
  <si>
    <t>№KZ04VDC00015228 от 03.06.2014 г.</t>
  </si>
  <si>
    <t>№1-21-501 от 18.11.2014 г.</t>
  </si>
  <si>
    <t>№2-06/588 от 19.11.2014 г.</t>
  </si>
  <si>
    <t>№30 от 18.11.2014 г.</t>
  </si>
  <si>
    <t>№1-18/77 от 23.05.2014 г.</t>
  </si>
  <si>
    <t>№KZ74VDC00015229 от 03.06.2014 г.</t>
  </si>
  <si>
    <t>№1-21-502 от 18.11.2014 г.</t>
  </si>
  <si>
    <t>"2-06/589 от 19.11.2014 г.</t>
  </si>
  <si>
    <t>№31 от 18.11.2014 г.</t>
  </si>
  <si>
    <t>№1-18/78 от 23.05.2014 г.</t>
  </si>
  <si>
    <t>№KZ74VDC00015231 от 03.06.2014 г.</t>
  </si>
  <si>
    <t>№1-21-503 от 18.11.2014 г.</t>
  </si>
  <si>
    <t>№2-06/587 от 19.11.2014 г.</t>
  </si>
  <si>
    <t>№1101-з от 13.12.2007 г.</t>
  </si>
  <si>
    <t>№39 от 18.11.2014 г.</t>
  </si>
  <si>
    <t>№36 от 5.09.2014 г.</t>
  </si>
  <si>
    <t>№KZ93VDC00026915 от 22.09.2014 г.</t>
  </si>
  <si>
    <t>№26-10/1-23/509 от 18.11.2014 г.</t>
  </si>
  <si>
    <t>№26-6/2-06/656 от 19.11.2014 г.</t>
  </si>
  <si>
    <t>№38 от 18.11.2014 г.</t>
  </si>
  <si>
    <t>№26 от 25.09.2014 г.</t>
  </si>
  <si>
    <t>№KZ39VDC00026917 от 22.09.2014 г.</t>
  </si>
  <si>
    <t>№26-10/1-23/508 от 18.11.2014 г.</t>
  </si>
  <si>
    <t>№26-6/2-06/657 от 19.11.2014 г.</t>
  </si>
  <si>
    <t>№48 от 12.11.2014 г.</t>
  </si>
  <si>
    <t>№29 от 25.08.2014 г.</t>
  </si>
  <si>
    <t>№KZ95VDC00027170 от 29.09.2014 г.</t>
  </si>
  <si>
    <t>№26-10/1-23/510 от 18.11.2014 г.</t>
  </si>
  <si>
    <t>№26-6/2-06/654 от 19.11.2014 г.</t>
  </si>
  <si>
    <t>№1189 от 19.11.2009 г.</t>
  </si>
  <si>
    <t>№40 от 18.11.2014 г.</t>
  </si>
  <si>
    <t>№27 от 25.08.2014 г.</t>
  </si>
  <si>
    <t>№KZ41VDC00027172 от 29.09.2014 г.</t>
  </si>
  <si>
    <t>№26-10/1-23/511 от 18.11.2014 г.</t>
  </si>
  <si>
    <t>№26-6/2-06/655 от 19.11.2014 г.</t>
  </si>
  <si>
    <t>№1148 от 11.12.2008 г.</t>
  </si>
  <si>
    <t>№49 от 12.11.2014 г.</t>
  </si>
  <si>
    <t>№79 от 5.09.2014 г.</t>
  </si>
  <si>
    <t>№KZ77VDC00026912 от 22.09.2014 г.</t>
  </si>
  <si>
    <t>№1-21/677 от 19.11.2014 г.</t>
  </si>
  <si>
    <t>№2-06/507 от 19.11.2014 г.</t>
  </si>
  <si>
    <t>№ 78 от 3.09.2014 г.</t>
  </si>
  <si>
    <t>№KZ47VDC00026579 от 11.09.2014 г.</t>
  </si>
  <si>
    <t>№1-21/676 от 19.11.2014 г.</t>
  </si>
  <si>
    <t>№2-06/506 от 19.11.2014 г.</t>
  </si>
  <si>
    <t>№1101-3 от 13.12.2007 г.</t>
  </si>
  <si>
    <t>№47 от 12.11.2014 г.</t>
  </si>
  <si>
    <t>№77 от 28.08.2014 г.</t>
  </si>
  <si>
    <t>№KZ74VDC00026578 от 11.09.2014 г.</t>
  </si>
  <si>
    <t>№1-21/675 от 19.11.2014 г.</t>
  </si>
  <si>
    <t>№2-06/505 от 19.11.2014 г.</t>
  </si>
  <si>
    <t>№36 от 18.11.2014 г.</t>
  </si>
  <si>
    <t>№28 от 25.08.2014 г.</t>
  </si>
  <si>
    <t>№KZ53VDC00028120 от 21.10.2014 г.</t>
  </si>
  <si>
    <t>№26-10/1-23/520 от 20.11.2014 г.</t>
  </si>
  <si>
    <t>№26-6/2-06/662 от 20.11.2014 г.</t>
  </si>
  <si>
    <t>№37 от 18.11.2014 г.</t>
  </si>
  <si>
    <t>№31 от 25.08.2014 г.</t>
  </si>
  <si>
    <t>№KZ80VDC00028119 от 21.10.2014 г.</t>
  </si>
  <si>
    <t>№26-10/1-23/517 от 18.11.2014 г.</t>
  </si>
  <si>
    <t>№26-6/2-06/661 от 20.11.2014 г.</t>
  </si>
  <si>
    <t>№18-0254/12 от 03.04.2012г</t>
  </si>
  <si>
    <t>Реконструкция и строительство систем водоснабжения  села Кызылту Талгарского района Алматинской области (2 очередь)</t>
  </si>
  <si>
    <t>Реконструкция и строительство систем водоснабжения села Жалкамыс Талгарского района Алматинской области</t>
  </si>
  <si>
    <t>Реконструкция и строительство систем водоснабжения с. Таутергень Енбекшиказахского района Алматинской области</t>
  </si>
  <si>
    <t xml:space="preserve">Разработка ПСД Реконструкция внутрипоселковой водопроводной линии в п.Миялы, Жангельдин, Жаскайрат, Коныстану, Тайсойган, Тасшагыл, Караколь, Карабау Кызылкогинского района </t>
  </si>
  <si>
    <t>Строительство и реконструкцию внутрипоселковых водопроводных линий в пос.Доссор Макатского района Атырауской области</t>
  </si>
  <si>
    <t>Строительство внутрсиельских водопроводных сетей в с.Шокпартогай Жылыойского района</t>
  </si>
  <si>
    <t>№ 18-059411 от 31.08.2011 г.</t>
  </si>
  <si>
    <t xml:space="preserve">Протокол ГКЗ РК № 1038-11-У от 10.03.2011 г., 25 лет    </t>
  </si>
  <si>
    <t>№ 18-0906/11 от 30.11.2011 г.</t>
  </si>
  <si>
    <t>ГЭ на ПСД №18-0646/12 от 09.08.2012 г.</t>
  </si>
  <si>
    <t>Тургенский ГВ (Тех условия №24-31-1-1/295 от 31.08.11.)</t>
  </si>
  <si>
    <t>№156/н от 01.11.2012 г.</t>
  </si>
  <si>
    <t>№28 от 02.09.2011 г.</t>
  </si>
  <si>
    <t>№ 25-06-25/5079/112 от 11.01.13.</t>
  </si>
  <si>
    <t>№88 от 01.11.12</t>
  </si>
  <si>
    <t>ГЭ на ПСД ГЭ № 05-0354/12 от 10.11.2010г.</t>
  </si>
  <si>
    <t>Запасы воды ЗКО ГКЗ № 723 от 15.12.2008 г., 27 лет</t>
  </si>
  <si>
    <t>№41 от30.11.2010 г.</t>
  </si>
  <si>
    <t>№746  от 18.11.2010 г</t>
  </si>
  <si>
    <t xml:space="preserve">№ 2-175 от 30.12.2010 г.   </t>
  </si>
  <si>
    <t>№ 30-03/7 от 20.03.2013 г.</t>
  </si>
  <si>
    <t>ГЭ на ПСД ГЭ № 05-0130/12 от 19.04.2012 г.</t>
  </si>
  <si>
    <t>апасы воды ТУ № 03/717 от 06.02.2012 г.</t>
  </si>
  <si>
    <t>№24 от 30.05.2012 г.</t>
  </si>
  <si>
    <t>№14  от 24.05.2012 г.</t>
  </si>
  <si>
    <t xml:space="preserve">№ 2-225 от 16.04.2012 г. </t>
  </si>
  <si>
    <t>ГЭ на ПСД №05-0157/12 от 28.04.2012 г.</t>
  </si>
  <si>
    <t>Водовод Кульсары-Тургызба-Шокпартогай-Аккизтогай ТУ №9 от 15.02.2013 г., Договор № WDW 43/2013 от 06.12.2012 г.</t>
  </si>
  <si>
    <t>№40 от 21.02.2013 г.</t>
  </si>
  <si>
    <t>№516-П от 20.04.2012 г.</t>
  </si>
  <si>
    <t>№2-239 от 16.04.2012 г.</t>
  </si>
  <si>
    <t>№30-03/13 от 20.03.2013 г.</t>
  </si>
  <si>
    <t>Реконструкция системы водоснабжения с.Бескарагай Бескарагайского района ВКО (корректировка)</t>
  </si>
  <si>
    <t>№07-0094/12 от 28.04.2012 года</t>
  </si>
  <si>
    <t>№444 от 14.12.2007 г.</t>
  </si>
  <si>
    <t>№58 от 16.05.2012 г.</t>
  </si>
  <si>
    <t>№4к от 01.02.2012 г.</t>
  </si>
  <si>
    <t>№02-02-04/1503 от 28.11.2008 г.</t>
  </si>
  <si>
    <t>№996 от 22.05.2012 г.</t>
  </si>
  <si>
    <t>Реконструкция водопроводных сетей  с.Кабанбай Тарбагатайского района ВКО</t>
  </si>
  <si>
    <t>Реконструкция водопроводных сетей с.Карасу Тарбагатайского района ВКО</t>
  </si>
  <si>
    <t>№ 06-0345/12 от 19.11.2012 года</t>
  </si>
  <si>
    <t>№499 от 12.11.2009 г.</t>
  </si>
  <si>
    <t>№38 от 23.11.2012 г.</t>
  </si>
  <si>
    <t>№ 31/11 К от 30.09.2011 г.</t>
  </si>
  <si>
    <t>№06-07/юлт-155 от 10.02.2012 г</t>
  </si>
  <si>
    <t>№2569 от 27.11.2012 г.</t>
  </si>
  <si>
    <t>№ 06-0301/12 от 28.09.2012 г.</t>
  </si>
  <si>
    <t>№32 от 09.10.2012 г.</t>
  </si>
  <si>
    <t>№30/10 К от 30.09.2011 г.</t>
  </si>
  <si>
    <t>№06-07/юлт-156 от 10.02.2012 г.</t>
  </si>
  <si>
    <t>№1377 от 07.11.2012 г.</t>
  </si>
  <si>
    <t>Реконструкция водопроводных сетей с. Алгабас Улытауского района</t>
  </si>
  <si>
    <t xml:space="preserve">Корректировка рабочего проекта Реконструкция водовода с. Улытау-Саламат ул.Иманжанова </t>
  </si>
  <si>
    <t xml:space="preserve"> ГЭ №10-0086/11 от 14.03.2011 г.</t>
  </si>
  <si>
    <t>Письмо КГН  б/н</t>
  </si>
  <si>
    <t>№22 от 02.06.2011 г.</t>
  </si>
  <si>
    <t>№ 5-22/508 от 08.06.2011 г.</t>
  </si>
  <si>
    <t>№7-5/623 от 24.04.2008 г.</t>
  </si>
  <si>
    <t>№ 6-3-018</t>
  </si>
  <si>
    <t>ГЭ №10-0108/11 от 25.03.2011 г.</t>
  </si>
  <si>
    <t>КГН № 14-03-282И от 09.08.2012 г.14-03-282-Н</t>
  </si>
  <si>
    <t>№26 от 17.06.2011 г.</t>
  </si>
  <si>
    <t>№ 15 от 11.05.2011 г.</t>
  </si>
  <si>
    <t>№7-8/565 от 30.03.2010 г.</t>
  </si>
  <si>
    <t>№ 6-3-020</t>
  </si>
  <si>
    <t xml:space="preserve">Реконструкция водопроводных сетей с. Актау Жанааркинского района </t>
  </si>
  <si>
    <t>Реконструкция водопроводных сетей с. Бидаик Жанааркинского района</t>
  </si>
  <si>
    <t>ГЭ ПСД №10-0125/11 от 30.03.2011 г.</t>
  </si>
  <si>
    <t>№18 б от 11.04.2011 г.</t>
  </si>
  <si>
    <t>№5-25/127 от 26.03.2013 г.</t>
  </si>
  <si>
    <t>№ ЮЛА-24010 от 19.03.2013 г.</t>
  </si>
  <si>
    <t>№6-3-025</t>
  </si>
  <si>
    <t>ГЭ ПСД №10-0122/11 от 30.03.2011 г.</t>
  </si>
  <si>
    <t>№ 17б от 11.04.2011 г.</t>
  </si>
  <si>
    <t>№5-22/129 от 26.03.2013 г.</t>
  </si>
  <si>
    <t>№6-3-024</t>
  </si>
  <si>
    <t>Реконструкция водоснабжения села Озерное Костанайского района. Корректировка</t>
  </si>
  <si>
    <t>№ 13-0246/11 от 27.12.2011 г.</t>
  </si>
  <si>
    <t>НТС № 167 от 17.10.2007 г., 25 лет</t>
  </si>
  <si>
    <t>№ 6 от 24.01.2012 г.</t>
  </si>
  <si>
    <t>№ 12 от 01.02.2012 г.</t>
  </si>
  <si>
    <t>№ 150 от 15.02.2012 г.</t>
  </si>
  <si>
    <t>Реконструкция скважин, соединительного водовода, водоочистных сооружений и разводящей сети с. Тарановское. Корректировка</t>
  </si>
  <si>
    <t>№ 13-0173/11 от 11.11.2011 г.</t>
  </si>
  <si>
    <t>СКО ГКЗ № 44 от 08.12.2009 г., 25 лет</t>
  </si>
  <si>
    <t>№ 37 от 16.11.2011 г.</t>
  </si>
  <si>
    <t>№ 12 от 31.01.2012 г.</t>
  </si>
  <si>
    <t>№ 02-03-4123/С-1266 от 30.09.2011 г.</t>
  </si>
  <si>
    <t>Реконструкция разводящих сетей водопровода поселка Карабалык Карабалыкского района. Корректировка</t>
  </si>
  <si>
    <t>№ 13-0001/12 от 12.01.2012 г.</t>
  </si>
  <si>
    <t>СКО ГКЗ) № 46 от 23.12.2009 г.</t>
  </si>
  <si>
    <t>№ 8 от 20.01.2012 г.</t>
  </si>
  <si>
    <t>№ 193 от 07.10.2011 г.</t>
  </si>
  <si>
    <t>№ 02-03-454/А-2594 от 22.02.2012 г.</t>
  </si>
  <si>
    <t>Строительство водоснабжения  села Сага Жангельдинского района Костанайской области</t>
  </si>
  <si>
    <t>№13-0049/12 от 30.03.2012 г., 282969 т.т.</t>
  </si>
  <si>
    <t>р. Сарыозен, БВИ № 19-12-03/168 от 28.03.2012 г.</t>
  </si>
  <si>
    <t>№ 12 от 11.04.2012 г.</t>
  </si>
  <si>
    <t>№ 24 от 13.09.2011 г.</t>
  </si>
  <si>
    <t>№ 281 от 02.03.2012 г.</t>
  </si>
  <si>
    <t>№ 6 от 31.01.2013 г.</t>
  </si>
  <si>
    <t xml:space="preserve">Строительство Жиделинского группового водопровода и веток подключения к нему от НПС №3 (ПК282+70) до н.п. Бирлестик по Шиелийскому району КЗО. Реконструкция внутрипоселковых разводящих сетей н.п. Жулек </t>
  </si>
  <si>
    <t>Строительство Жиделинского группового водопровода и веток подключения к нему от НПС №3 (ПК282+70) до н.п. Бирлестик по Шиелийскому району КЗО. Реконструкция внутрипоселковых разводящих сетей н.п. Алмалы Шиелийского района.</t>
  </si>
  <si>
    <t>Строительство Жиделинского группового водопровода и веток подключения к нему от НПС №3 (ПК282+70) до н.п. Бирлестик по Шиелийскому району КЗО. Реконструкция внутрипоселковых разводящих сетей н.п. Тажибаева Шиелийского района.</t>
  </si>
  <si>
    <t>№14-0016/13 от 31.01.2013 г.</t>
  </si>
  <si>
    <t>Жиделинский гр. Водовод Экспертное заключение  и..о. председателя КГН</t>
  </si>
  <si>
    <t>№84 от 19.02.2013 г.</t>
  </si>
  <si>
    <t>№85 от 04.02.2013 г.</t>
  </si>
  <si>
    <t>№06-12/354 от 11.02.2013 г.</t>
  </si>
  <si>
    <t>№07-19/531 от 26.02.2013 г.</t>
  </si>
  <si>
    <t>№14-0017/13 от 31.01.2013 г.</t>
  </si>
  <si>
    <t>№83 от 19.02.2013 г.</t>
  </si>
  <si>
    <t>№87 от 04.02.2013 г.</t>
  </si>
  <si>
    <t>№06-12/355 от 11.02.2013 г.</t>
  </si>
  <si>
    <t>№14-0018/13 от 31.01.2013 г.</t>
  </si>
  <si>
    <t>№85 от 19.02.2013 г.</t>
  </si>
  <si>
    <t>№86 от 04.02.2013 г.</t>
  </si>
  <si>
    <t>№06-12/356 от 11.02.2013 г.</t>
  </si>
  <si>
    <t>Реконструкция разводящих сетей водоводов и отводов сельских населенных пунктов, подключенных к Булаевскому групповому водопроводу с.Акжаркын  Акжарского района СКО</t>
  </si>
  <si>
    <t xml:space="preserve"> №01-813/12 от 29.11.12 г.</t>
  </si>
  <si>
    <t>Булаевский групповой водопровод  19-15-25/25-967 от 26.06.2012 г.</t>
  </si>
  <si>
    <t>№95-А от 29.11.12 г</t>
  </si>
  <si>
    <t>№07-16/429-268 от 01.06.12 г.</t>
  </si>
  <si>
    <t>№ №03.10-03-06-249 от 06.02.12 г.</t>
  </si>
  <si>
    <t>№ 03.02/03-14-305-1 от 2.04.13 г.</t>
  </si>
  <si>
    <t>Реконструкция разводящих сетей водоводов и отводов сельских населенных пунктов, подключенных к Булаевскому групповому водопроводу с.Байтус  Акжарского района СКО</t>
  </si>
  <si>
    <t>Секвестр</t>
  </si>
  <si>
    <t>Уточненный на 2015 год</t>
  </si>
  <si>
    <t>Восстановление</t>
  </si>
  <si>
    <t xml:space="preserve">Қызылқоға ауданының Миалы, Жангелдин, Жасқайрат, Қоныстау, Тайсоған, Тасшағыл, Қаракөл, Қарабау елді мекендеріндегі поселкеішілік су құбырлары желісін қайта жаңарту </t>
  </si>
  <si>
    <t xml:space="preserve">Мақат ауданы Доссор поселкесіндегі поселкеішілік су құбыры желісінің құрылысы және қайта жаңғырту </t>
  </si>
  <si>
    <t xml:space="preserve">Жылыой ауданы Шоқпартоғай  селосындағы селоішілік су құбыры желісінің құрылысы </t>
  </si>
  <si>
    <t>Алматы облысы Талғар ауданының Қызыл ту ауылындағы сумен жабдықтау жүйелерінің құрылысы және қайта жаңғырту (2-ші кезек)</t>
  </si>
  <si>
    <t>Алматы облысы Талғар ауданының Жалғамыс ауылындағы сумен жабдықтау жүйелерінің құрылысы және қайта жаңғырту</t>
  </si>
  <si>
    <t>Алматы облысы Еңбекшіқазақ ауданының Таутүрген ауылындағы сумен жабдықтау жүйелерінің құрылысы және қайта жаңғырту</t>
  </si>
  <si>
    <t>Шығыс Қазақстан облысы  Бесқарағай ауданы Бесқарағай ауылындағы сумен қамту жүйесін қайта жаңғырту</t>
  </si>
  <si>
    <t>Шығыс Қазақстан облысы Тарбағатай ауданы Қабанбай ауылының су  құбыры желілерін қайта құру</t>
  </si>
  <si>
    <t>Шығыс Қазақстан облысы Тарбағатай ауданы Қарасу ауылының су  құбыры желілерін қайта құру</t>
  </si>
  <si>
    <t>Ұлытау ауданының Алғабас ауылындағы су құбырлар жүйелерін қайта құру</t>
  </si>
  <si>
    <t>Ұлытау-Саламат селоларындағы Иманжанов  көшесіндегі су қткізуші құбырын қайта жаңғырту жұмыс жобасын түзету</t>
  </si>
  <si>
    <t>Жаңа-арқа ауданының Ақтау ауылындағы су құбырлар жүйелерін қайта құру</t>
  </si>
  <si>
    <t>Жаңа-арқа ауданының Бидаиқ ауылындағы су құбырлар жүйелерін қайта құру</t>
  </si>
  <si>
    <t>Қостанай ауданы Озерный ауылында сумен жабдықтауды  қайта құрылымдау. Түзету</t>
  </si>
  <si>
    <t>Қостанай облысы Таран ауданы Таран с. ұңғыма, жалғаушы су құбыры, су тазарту құрылыстары және айыру желілерін қайта құру. Түзету</t>
  </si>
  <si>
    <t>Қарабалық ауданы Қарабалық ауылында су құбырының таратушы тораптарын қайта құрылымдау. Түзету</t>
  </si>
  <si>
    <t>Қостанай облысы Жангелдин ауданы Саға селосын сумен жабдықтау</t>
  </si>
  <si>
    <t>Қызылорда облысы Шиелі ауданы бойынша Жиделі топтық су құбырының және оған қосылатын №3 СС-нан (ПК282+70) Бірлестік елді мекеніне дейінгі тармағының құрылысы. Жөлек елді мекеніндегі қыстақішілік су таратушы тораптарын қайта жаңғырту</t>
  </si>
  <si>
    <t>Қызылорда облысы Шиелі ауданы бойынша Жиделі топтық су құбырының және оған қосылатын №3 СС-нан (ПК282+70) Бірлестік елді мекеніне дейінгі тармағының құрылысы. Алмалы елді мекеніндегі қыстақішілік су таратушы тораптарын қайта жаңғырту</t>
  </si>
  <si>
    <t>Қызылорда облысы Шиелі ауданы бойынша Жиделі топтық су құбырының және оған қосылатын №3 СС-нан (ПК282+70) Бірлестік елді мекеніне дейінгі тармағының құрылысы. Тәжібаев елді мекеніндегі қыстақішілік су таратушы тораптарын қайта жаңғырту</t>
  </si>
  <si>
    <t>"Булаев топтық су құбырына қосылған ауылдық елді мекендердің су тарату және су бұру таратушы желілерін қайта жаңарту. Солтүстік Қазақстан облысы Ақжар ауданы Байтүс ауылы"</t>
  </si>
  <si>
    <t>"Булаев топтық су құбырына қосылған ауылдық елді мекендердің су тартқыштары мен бұрмаларын, тарату желілерін қайта жаңарту. Солтүстік Қазақстан облысының Ақжар ауданы Ақжарқын ауылы"</t>
  </si>
  <si>
    <t>Утвержденный на 2015 год</t>
  </si>
  <si>
    <t>Перечень приоритетных бюджетных инвестиционных проектов на 2015 год по бюджетной программе 032 "Целевые трансферты на развитие областным бюджетам на развитие системы водоснабжения и водоотведения в сельских населенных пунктах"</t>
  </si>
  <si>
    <t>Наименование 
проекта</t>
  </si>
  <si>
    <t>Общая
 стоимость</t>
  </si>
  <si>
    <t>Уточненный бюджет</t>
  </si>
  <si>
    <t>№п/п</t>
  </si>
  <si>
    <t>Стоимость 
без ПИР 
и госэкспретизы</t>
  </si>
  <si>
    <t>Выделено до 2015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</si>
</sst>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_(* #,##0.00_);_(* \(#,##0.00\);_(* &quot;-&quot;??_);_(@_)"/>
  </numFmts>
  <fonts count="50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i/>
      <sz val="6"/>
      <color theme="1"/>
      <name val="Arial"/>
      <family val="2"/>
      <charset val="204"/>
    </font>
    <font>
      <i/>
      <sz val="6"/>
      <name val="Arial"/>
      <family val="2"/>
      <charset val="204"/>
    </font>
    <font>
      <i/>
      <sz val="6"/>
      <color indexed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i/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color rgb="FF000000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6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theme="1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02">
    <xf numFmtId="0" fontId="0" fillId="0" borderId="0"/>
    <xf numFmtId="0" fontId="1" fillId="0" borderId="0">
      <alignment horizontal="right" vertical="top"/>
    </xf>
    <xf numFmtId="0" fontId="2" fillId="0" borderId="0"/>
    <xf numFmtId="0" fontId="3" fillId="0" borderId="0"/>
    <xf numFmtId="0" fontId="4" fillId="0" borderId="0"/>
    <xf numFmtId="0" fontId="4" fillId="0" borderId="0"/>
    <xf numFmtId="0" fontId="12" fillId="0" borderId="0">
      <alignment horizontal="left" vertical="top"/>
    </xf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4" fillId="13" borderId="15" applyNumberFormat="0" applyAlignment="0" applyProtection="0"/>
    <xf numFmtId="0" fontId="34" fillId="13" borderId="15" applyNumberFormat="0" applyAlignment="0" applyProtection="0"/>
    <xf numFmtId="0" fontId="35" fillId="26" borderId="16" applyNumberFormat="0" applyAlignment="0" applyProtection="0"/>
    <xf numFmtId="0" fontId="35" fillId="26" borderId="16" applyNumberFormat="0" applyAlignment="0" applyProtection="0"/>
    <xf numFmtId="0" fontId="36" fillId="26" borderId="15" applyNumberFormat="0" applyAlignment="0" applyProtection="0"/>
    <xf numFmtId="0" fontId="36" fillId="26" borderId="15" applyNumberFormat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1" fillId="27" borderId="21" applyNumberFormat="0" applyAlignment="0" applyProtection="0"/>
    <xf numFmtId="0" fontId="41" fillId="27" borderId="21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3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2" fillId="29" borderId="22" applyNumberFormat="0" applyFont="0" applyAlignment="0" applyProtection="0"/>
    <xf numFmtId="0" fontId="32" fillId="29" borderId="22" applyNumberFormat="0" applyFont="0" applyAlignment="0" applyProtection="0"/>
    <xf numFmtId="9" fontId="3" fillId="0" borderId="0" applyFont="0" applyFill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</cellStyleXfs>
  <cellXfs count="179">
    <xf numFmtId="0" fontId="0" fillId="0" borderId="0" xfId="0"/>
    <xf numFmtId="1" fontId="5" fillId="3" borderId="0" xfId="0" applyNumberFormat="1" applyFont="1" applyFill="1" applyAlignment="1">
      <alignment horizontal="center" vertical="center"/>
    </xf>
    <xf numFmtId="1" fontId="6" fillId="3" borderId="0" xfId="2" applyNumberFormat="1" applyFont="1" applyFill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 wrapText="1"/>
    </xf>
    <xf numFmtId="3" fontId="8" fillId="3" borderId="1" xfId="5" applyNumberFormat="1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center" vertical="center" wrapText="1"/>
    </xf>
    <xf numFmtId="3" fontId="16" fillId="3" borderId="1" xfId="0" applyNumberFormat="1" applyFont="1" applyFill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horizontal="center" vertical="center" wrapText="1"/>
    </xf>
    <xf numFmtId="3" fontId="17" fillId="3" borderId="1" xfId="0" applyNumberFormat="1" applyFont="1" applyFill="1" applyBorder="1" applyAlignment="1">
      <alignment horizontal="center" vertical="center" wrapText="1"/>
    </xf>
    <xf numFmtId="3" fontId="18" fillId="3" borderId="1" xfId="0" applyNumberFormat="1" applyFont="1" applyFill="1" applyBorder="1" applyAlignment="1">
      <alignment horizontal="center" vertical="center" wrapText="1"/>
    </xf>
    <xf numFmtId="1" fontId="19" fillId="3" borderId="0" xfId="0" applyNumberFormat="1" applyFont="1" applyFill="1" applyBorder="1" applyAlignment="1">
      <alignment vertical="center"/>
    </xf>
    <xf numFmtId="1" fontId="19" fillId="3" borderId="0" xfId="0" applyNumberFormat="1" applyFont="1" applyFill="1" applyBorder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/>
    </xf>
    <xf numFmtId="1" fontId="21" fillId="3" borderId="0" xfId="0" applyNumberFormat="1" applyFont="1" applyFill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15" fillId="3" borderId="0" xfId="0" applyNumberFormat="1" applyFont="1" applyFill="1" applyAlignment="1">
      <alignment horizontal="center" vertical="center" wrapText="1"/>
    </xf>
    <xf numFmtId="1" fontId="15" fillId="3" borderId="0" xfId="0" applyNumberFormat="1" applyFont="1" applyFill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/>
    </xf>
    <xf numFmtId="3" fontId="8" fillId="3" borderId="0" xfId="0" applyNumberFormat="1" applyFont="1" applyFill="1" applyBorder="1" applyAlignment="1">
      <alignment horizontal="center" vertical="center" wrapText="1"/>
    </xf>
    <xf numFmtId="1" fontId="11" fillId="3" borderId="0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1" fontId="19" fillId="3" borderId="0" xfId="0" applyNumberFormat="1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 wrapText="1"/>
    </xf>
    <xf numFmtId="1" fontId="7" fillId="3" borderId="0" xfId="0" applyNumberFormat="1" applyFont="1" applyFill="1" applyAlignment="1">
      <alignment horizontal="center" vertical="center" wrapText="1"/>
    </xf>
    <xf numFmtId="1" fontId="20" fillId="3" borderId="0" xfId="0" applyNumberFormat="1" applyFont="1" applyFill="1" applyAlignment="1">
      <alignment horizontal="center" vertical="center" wrapText="1"/>
    </xf>
    <xf numFmtId="1" fontId="15" fillId="3" borderId="1" xfId="0" applyNumberFormat="1" applyFont="1" applyFill="1" applyBorder="1" applyAlignment="1">
      <alignment horizontal="center" vertical="center" wrapText="1"/>
    </xf>
    <xf numFmtId="41" fontId="8" fillId="3" borderId="1" xfId="0" applyNumberFormat="1" applyFont="1" applyFill="1" applyBorder="1" applyAlignment="1">
      <alignment horizontal="center" vertical="center" wrapText="1"/>
    </xf>
    <xf numFmtId="1" fontId="7" fillId="3" borderId="4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1" fontId="10" fillId="3" borderId="4" xfId="0" applyNumberFormat="1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3" fontId="12" fillId="3" borderId="8" xfId="0" applyNumberFormat="1" applyFont="1" applyFill="1" applyBorder="1" applyAlignment="1">
      <alignment horizontal="center" vertical="center"/>
    </xf>
    <xf numFmtId="1" fontId="12" fillId="3" borderId="9" xfId="0" applyNumberFormat="1" applyFont="1" applyFill="1" applyBorder="1" applyAlignment="1">
      <alignment horizontal="center" vertical="center" wrapText="1"/>
    </xf>
    <xf numFmtId="3" fontId="8" fillId="4" borderId="8" xfId="0" applyNumberFormat="1" applyFont="1" applyFill="1" applyBorder="1" applyAlignment="1">
      <alignment horizontal="center" vertical="center" wrapText="1"/>
    </xf>
    <xf numFmtId="3" fontId="8" fillId="3" borderId="9" xfId="0" applyNumberFormat="1" applyFont="1" applyFill="1" applyBorder="1" applyAlignment="1">
      <alignment horizontal="center" vertical="center" wrapText="1"/>
    </xf>
    <xf numFmtId="3" fontId="11" fillId="3" borderId="9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center" vertical="center" wrapText="1"/>
    </xf>
    <xf numFmtId="0" fontId="8" fillId="3" borderId="8" xfId="0" applyNumberFormat="1" applyFont="1" applyFill="1" applyBorder="1" applyAlignment="1">
      <alignment horizontal="center" vertical="center" wrapText="1"/>
    </xf>
    <xf numFmtId="3" fontId="8" fillId="2" borderId="8" xfId="0" applyNumberFormat="1" applyFont="1" applyFill="1" applyBorder="1" applyAlignment="1">
      <alignment horizontal="center" vertical="center" wrapText="1"/>
    </xf>
    <xf numFmtId="3" fontId="11" fillId="2" borderId="9" xfId="0" applyNumberFormat="1" applyFont="1" applyFill="1" applyBorder="1" applyAlignment="1">
      <alignment horizontal="center" vertical="center" wrapText="1"/>
    </xf>
    <xf numFmtId="3" fontId="16" fillId="3" borderId="9" xfId="0" applyNumberFormat="1" applyFont="1" applyFill="1" applyBorder="1" applyAlignment="1">
      <alignment horizontal="center" vertical="center" wrapText="1"/>
    </xf>
    <xf numFmtId="3" fontId="14" fillId="3" borderId="9" xfId="0" applyNumberFormat="1" applyFont="1" applyFill="1" applyBorder="1" applyAlignment="1">
      <alignment horizontal="center" vertical="center" wrapText="1"/>
    </xf>
    <xf numFmtId="1" fontId="8" fillId="3" borderId="8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Alignment="1">
      <alignment horizontal="center" vertical="center" wrapText="1"/>
    </xf>
    <xf numFmtId="1" fontId="6" fillId="0" borderId="0" xfId="2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vertical="center" wrapText="1"/>
    </xf>
    <xf numFmtId="1" fontId="20" fillId="3" borderId="0" xfId="0" applyNumberFormat="1" applyFont="1" applyFill="1" applyAlignment="1">
      <alignment vertical="center" wrapText="1"/>
    </xf>
    <xf numFmtId="1" fontId="23" fillId="3" borderId="0" xfId="0" applyNumberFormat="1" applyFont="1" applyFill="1" applyAlignment="1">
      <alignment vertical="center" wrapText="1"/>
    </xf>
    <xf numFmtId="0" fontId="24" fillId="0" borderId="0" xfId="2" applyFont="1" applyFill="1" applyAlignment="1">
      <alignment horizontal="left"/>
    </xf>
    <xf numFmtId="1" fontId="23" fillId="3" borderId="0" xfId="0" applyNumberFormat="1" applyFont="1" applyFill="1" applyAlignment="1">
      <alignment horizontal="center" vertical="center" wrapText="1"/>
    </xf>
    <xf numFmtId="0" fontId="25" fillId="0" borderId="0" xfId="2" applyFont="1" applyFill="1" applyBorder="1"/>
    <xf numFmtId="3" fontId="24" fillId="0" borderId="0" xfId="2" applyNumberFormat="1" applyFont="1" applyFill="1" applyBorder="1" applyAlignment="1">
      <alignment horizontal="center" vertical="center" wrapText="1"/>
    </xf>
    <xf numFmtId="0" fontId="24" fillId="0" borderId="0" xfId="0" applyFont="1" applyFill="1"/>
    <xf numFmtId="1" fontId="26" fillId="3" borderId="0" xfId="0" applyNumberFormat="1" applyFont="1" applyFill="1" applyAlignment="1">
      <alignment horizontal="center" vertical="center"/>
    </xf>
    <xf numFmtId="0" fontId="24" fillId="0" borderId="0" xfId="2" applyFont="1" applyFill="1" applyAlignment="1">
      <alignment horizontal="left" vertical="top"/>
    </xf>
    <xf numFmtId="49" fontId="22" fillId="3" borderId="0" xfId="0" applyNumberFormat="1" applyFont="1" applyFill="1" applyBorder="1" applyAlignment="1">
      <alignment vertical="center" wrapText="1"/>
    </xf>
    <xf numFmtId="1" fontId="19" fillId="0" borderId="0" xfId="0" applyNumberFormat="1" applyFont="1" applyFill="1" applyBorder="1" applyAlignment="1">
      <alignment horizontal="left" vertical="center"/>
    </xf>
    <xf numFmtId="1" fontId="19" fillId="0" borderId="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19" fillId="3" borderId="0" xfId="0" applyNumberFormat="1" applyFont="1" applyFill="1" applyBorder="1" applyAlignment="1">
      <alignment horizontal="left" vertical="center" wrapText="1"/>
    </xf>
    <xf numFmtId="1" fontId="5" fillId="3" borderId="0" xfId="0" applyNumberFormat="1" applyFont="1" applyFill="1" applyAlignment="1">
      <alignment horizontal="left" vertical="center" wrapText="1"/>
    </xf>
    <xf numFmtId="1" fontId="19" fillId="0" borderId="0" xfId="0" applyNumberFormat="1" applyFont="1" applyFill="1" applyBorder="1" applyAlignment="1">
      <alignment horizontal="left" vertical="center" wrapText="1"/>
    </xf>
    <xf numFmtId="1" fontId="5" fillId="0" borderId="0" xfId="0" applyNumberFormat="1" applyFont="1" applyFill="1" applyAlignment="1">
      <alignment horizontal="left" vertical="center" wrapText="1"/>
    </xf>
    <xf numFmtId="1" fontId="28" fillId="3" borderId="0" xfId="0" applyNumberFormat="1" applyFont="1" applyFill="1" applyBorder="1" applyAlignment="1">
      <alignment horizontal="left" vertical="center"/>
    </xf>
    <xf numFmtId="1" fontId="28" fillId="0" borderId="0" xfId="0" applyNumberFormat="1" applyFont="1" applyFill="1" applyBorder="1" applyAlignment="1">
      <alignment horizontal="left" vertical="center"/>
    </xf>
    <xf numFmtId="1" fontId="28" fillId="3" borderId="0" xfId="0" applyNumberFormat="1" applyFont="1" applyFill="1" applyBorder="1" applyAlignment="1">
      <alignment vertical="center"/>
    </xf>
    <xf numFmtId="0" fontId="8" fillId="3" borderId="0" xfId="0" applyNumberFormat="1" applyFont="1" applyFill="1" applyBorder="1" applyAlignment="1">
      <alignment horizontal="center" vertical="center" wrapText="1"/>
    </xf>
    <xf numFmtId="3" fontId="11" fillId="3" borderId="0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Border="1" applyAlignment="1">
      <alignment horizontal="center" vertical="center" wrapText="1"/>
    </xf>
    <xf numFmtId="1" fontId="15" fillId="3" borderId="0" xfId="0" applyNumberFormat="1" applyFont="1" applyFill="1" applyBorder="1" applyAlignment="1">
      <alignment horizontal="center" vertical="center" wrapText="1"/>
    </xf>
    <xf numFmtId="3" fontId="15" fillId="3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3" fontId="8" fillId="6" borderId="9" xfId="0" applyNumberFormat="1" applyFont="1" applyFill="1" applyBorder="1" applyAlignment="1">
      <alignment horizontal="center" vertical="center" wrapText="1"/>
    </xf>
    <xf numFmtId="3" fontId="8" fillId="7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3" fontId="8" fillId="3" borderId="1" xfId="1" applyNumberFormat="1" applyFont="1" applyFill="1" applyBorder="1" applyAlignment="1">
      <alignment horizontal="center" vertical="center" wrapText="1"/>
    </xf>
    <xf numFmtId="3" fontId="8" fillId="3" borderId="7" xfId="1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3" fontId="8" fillId="3" borderId="8" xfId="0" applyNumberFormat="1" applyFont="1" applyFill="1" applyBorder="1" applyAlignment="1">
      <alignment horizontal="center" vertical="center" wrapText="1"/>
    </xf>
    <xf numFmtId="3" fontId="8" fillId="3" borderId="13" xfId="1" applyNumberFormat="1" applyFont="1" applyFill="1" applyBorder="1" applyAlignment="1">
      <alignment horizontal="center" vertical="center" wrapText="1"/>
    </xf>
    <xf numFmtId="3" fontId="8" fillId="3" borderId="14" xfId="1" applyNumberFormat="1" applyFont="1" applyFill="1" applyBorder="1" applyAlignment="1">
      <alignment horizontal="center" vertical="center" wrapText="1"/>
    </xf>
    <xf numFmtId="3" fontId="8" fillId="3" borderId="2" xfId="1" applyNumberFormat="1" applyFont="1" applyFill="1" applyBorder="1" applyAlignment="1">
      <alignment horizontal="center" vertical="center" wrapText="1"/>
    </xf>
    <xf numFmtId="3" fontId="8" fillId="30" borderId="1" xfId="0" applyNumberFormat="1" applyFont="1" applyFill="1" applyBorder="1" applyAlignment="1">
      <alignment horizontal="center" vertical="center" wrapText="1"/>
    </xf>
    <xf numFmtId="3" fontId="8" fillId="31" borderId="1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center" vertical="center" wrapText="1"/>
    </xf>
    <xf numFmtId="3" fontId="8" fillId="3" borderId="13" xfId="1" applyNumberFormat="1" applyFont="1" applyFill="1" applyBorder="1" applyAlignment="1">
      <alignment horizontal="center" vertical="center" wrapText="1"/>
    </xf>
    <xf numFmtId="3" fontId="8" fillId="3" borderId="14" xfId="1" applyNumberFormat="1" applyFont="1" applyFill="1" applyBorder="1" applyAlignment="1">
      <alignment horizontal="center" vertical="center" wrapText="1"/>
    </xf>
    <xf numFmtId="3" fontId="8" fillId="3" borderId="2" xfId="1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3" fontId="8" fillId="3" borderId="1" xfId="1" applyNumberFormat="1" applyFont="1" applyFill="1" applyBorder="1" applyAlignment="1">
      <alignment horizontal="center" vertical="center" wrapText="1"/>
    </xf>
    <xf numFmtId="3" fontId="8" fillId="3" borderId="7" xfId="1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3" fontId="8" fillId="3" borderId="8" xfId="0" applyNumberFormat="1" applyFont="1" applyFill="1" applyBorder="1" applyAlignment="1">
      <alignment horizontal="center" vertical="center" wrapText="1"/>
    </xf>
    <xf numFmtId="3" fontId="8" fillId="3" borderId="13" xfId="1" applyNumberFormat="1" applyFont="1" applyFill="1" applyBorder="1" applyAlignment="1">
      <alignment horizontal="center" vertical="center" wrapText="1"/>
    </xf>
    <xf numFmtId="3" fontId="8" fillId="3" borderId="14" xfId="1" applyNumberFormat="1" applyFont="1" applyFill="1" applyBorder="1" applyAlignment="1">
      <alignment horizontal="center" vertical="center" wrapText="1"/>
    </xf>
    <xf numFmtId="3" fontId="8" fillId="3" borderId="2" xfId="1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49" fontId="27" fillId="3" borderId="0" xfId="0" applyNumberFormat="1" applyFont="1" applyFill="1" applyBorder="1" applyAlignment="1">
      <alignment vertical="center" wrapText="1"/>
    </xf>
    <xf numFmtId="0" fontId="11" fillId="0" borderId="0" xfId="0" applyFont="1"/>
    <xf numFmtId="0" fontId="11" fillId="0" borderId="1" xfId="0" applyFont="1" applyBorder="1"/>
    <xf numFmtId="0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/>
    <xf numFmtId="0" fontId="49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22" fillId="3" borderId="0" xfId="0" applyNumberFormat="1" applyFont="1" applyFill="1" applyBorder="1" applyAlignment="1">
      <alignment horizontal="center" vertical="center" wrapText="1"/>
    </xf>
    <xf numFmtId="3" fontId="8" fillId="3" borderId="13" xfId="1" applyNumberFormat="1" applyFont="1" applyFill="1" applyBorder="1" applyAlignment="1">
      <alignment horizontal="center" vertical="center" wrapText="1"/>
    </xf>
    <xf numFmtId="3" fontId="8" fillId="3" borderId="14" xfId="1" applyNumberFormat="1" applyFont="1" applyFill="1" applyBorder="1" applyAlignment="1">
      <alignment horizontal="center" vertical="center" wrapText="1"/>
    </xf>
    <xf numFmtId="3" fontId="8" fillId="3" borderId="2" xfId="1" applyNumberFormat="1" applyFont="1" applyFill="1" applyBorder="1" applyAlignment="1">
      <alignment horizontal="center" vertical="center" wrapText="1"/>
    </xf>
    <xf numFmtId="1" fontId="8" fillId="3" borderId="10" xfId="1" applyNumberFormat="1" applyFont="1" applyFill="1" applyBorder="1" applyAlignment="1">
      <alignment horizontal="center" vertical="center" wrapText="1"/>
    </xf>
    <xf numFmtId="1" fontId="8" fillId="3" borderId="11" xfId="1" applyNumberFormat="1" applyFont="1" applyFill="1" applyBorder="1" applyAlignment="1">
      <alignment horizontal="center" vertical="center" wrapText="1"/>
    </xf>
    <xf numFmtId="1" fontId="8" fillId="3" borderId="12" xfId="1" applyNumberFormat="1" applyFont="1" applyFill="1" applyBorder="1" applyAlignment="1">
      <alignment horizontal="center" vertical="center" wrapText="1"/>
    </xf>
    <xf numFmtId="3" fontId="8" fillId="3" borderId="1" xfId="1" applyNumberFormat="1" applyFont="1" applyFill="1" applyBorder="1" applyAlignment="1">
      <alignment horizontal="center" vertical="center" wrapText="1"/>
    </xf>
    <xf numFmtId="1" fontId="8" fillId="3" borderId="9" xfId="1" applyNumberFormat="1" applyFont="1" applyFill="1" applyBorder="1" applyAlignment="1">
      <alignment horizontal="center" vertical="center" wrapText="1"/>
    </xf>
    <xf numFmtId="1" fontId="8" fillId="3" borderId="1" xfId="1" applyNumberFormat="1" applyFont="1" applyFill="1" applyBorder="1" applyAlignment="1">
      <alignment horizontal="center" vertical="center" wrapText="1"/>
    </xf>
    <xf numFmtId="3" fontId="8" fillId="3" borderId="7" xfId="1" applyNumberFormat="1" applyFont="1" applyFill="1" applyBorder="1" applyAlignment="1">
      <alignment horizontal="center" vertical="center" wrapText="1"/>
    </xf>
    <xf numFmtId="3" fontId="8" fillId="2" borderId="13" xfId="1" applyNumberFormat="1" applyFont="1" applyFill="1" applyBorder="1" applyAlignment="1">
      <alignment horizontal="center" vertical="center" wrapText="1"/>
    </xf>
    <xf numFmtId="3" fontId="8" fillId="2" borderId="14" xfId="1" applyNumberFormat="1" applyFont="1" applyFill="1" applyBorder="1" applyAlignment="1">
      <alignment horizontal="center" vertical="center" wrapText="1"/>
    </xf>
    <xf numFmtId="3" fontId="8" fillId="2" borderId="2" xfId="1" applyNumberFormat="1" applyFont="1" applyFill="1" applyBorder="1" applyAlignment="1">
      <alignment horizontal="center" vertical="center" wrapText="1"/>
    </xf>
    <xf numFmtId="3" fontId="8" fillId="2" borderId="7" xfId="1" applyNumberFormat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1" fontId="8" fillId="3" borderId="7" xfId="1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3" fontId="8" fillId="5" borderId="7" xfId="1" applyNumberFormat="1" applyFont="1" applyFill="1" applyBorder="1" applyAlignment="1">
      <alignment horizontal="center" vertical="center" wrapText="1"/>
    </xf>
    <xf numFmtId="3" fontId="8" fillId="5" borderId="1" xfId="1" applyNumberFormat="1" applyFont="1" applyFill="1" applyBorder="1" applyAlignment="1">
      <alignment horizontal="center" vertical="center" wrapText="1"/>
    </xf>
    <xf numFmtId="3" fontId="8" fillId="5" borderId="7" xfId="0" applyNumberFormat="1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3" fontId="8" fillId="3" borderId="6" xfId="0" applyNumberFormat="1" applyFont="1" applyFill="1" applyBorder="1" applyAlignment="1">
      <alignment horizontal="center" vertical="center" wrapText="1"/>
    </xf>
    <xf numFmtId="3" fontId="8" fillId="3" borderId="8" xfId="0" applyNumberFormat="1" applyFont="1" applyFill="1" applyBorder="1" applyAlignment="1">
      <alignment horizontal="center" vertical="center" wrapText="1"/>
    </xf>
    <xf numFmtId="3" fontId="8" fillId="3" borderId="7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49" fontId="24" fillId="0" borderId="4" xfId="2" applyNumberFormat="1" applyFont="1" applyFill="1" applyBorder="1" applyAlignment="1">
      <alignment horizontal="center"/>
    </xf>
    <xf numFmtId="49" fontId="24" fillId="0" borderId="3" xfId="2" applyNumberFormat="1" applyFont="1" applyFill="1" applyBorder="1" applyAlignment="1">
      <alignment horizontal="center"/>
    </xf>
    <xf numFmtId="49" fontId="24" fillId="0" borderId="4" xfId="2" applyNumberFormat="1" applyFont="1" applyFill="1" applyBorder="1" applyAlignment="1">
      <alignment horizontal="center" wrapText="1"/>
    </xf>
    <xf numFmtId="49" fontId="24" fillId="0" borderId="3" xfId="2" applyNumberFormat="1" applyFont="1" applyFill="1" applyBorder="1" applyAlignment="1">
      <alignment horizontal="center" wrapText="1"/>
    </xf>
    <xf numFmtId="0" fontId="24" fillId="0" borderId="4" xfId="2" applyFont="1" applyFill="1" applyBorder="1" applyAlignment="1">
      <alignment horizontal="center"/>
    </xf>
    <xf numFmtId="0" fontId="24" fillId="0" borderId="3" xfId="2" applyFont="1" applyFill="1" applyBorder="1" applyAlignment="1">
      <alignment horizontal="center"/>
    </xf>
    <xf numFmtId="0" fontId="24" fillId="0" borderId="0" xfId="2" applyFont="1" applyFill="1" applyBorder="1" applyAlignment="1">
      <alignment horizontal="center" vertical="top" wrapText="1"/>
    </xf>
    <xf numFmtId="0" fontId="24" fillId="0" borderId="0" xfId="2" applyFont="1" applyFill="1" applyBorder="1" applyAlignment="1">
      <alignment horizontal="center" wrapText="1"/>
    </xf>
    <xf numFmtId="1" fontId="7" fillId="0" borderId="0" xfId="0" applyNumberFormat="1" applyFont="1" applyFill="1" applyAlignment="1">
      <alignment horizontal="center" vertical="center" wrapText="1"/>
    </xf>
    <xf numFmtId="49" fontId="24" fillId="0" borderId="1" xfId="2" applyNumberFormat="1" applyFont="1" applyFill="1" applyBorder="1" applyAlignment="1">
      <alignment horizontal="center"/>
    </xf>
    <xf numFmtId="49" fontId="24" fillId="0" borderId="1" xfId="2" applyNumberFormat="1" applyFont="1" applyFill="1" applyBorder="1" applyAlignment="1">
      <alignment horizontal="center" wrapText="1"/>
    </xf>
    <xf numFmtId="0" fontId="24" fillId="0" borderId="1" xfId="2" applyFont="1" applyFill="1" applyBorder="1" applyAlignment="1">
      <alignment horizontal="center"/>
    </xf>
    <xf numFmtId="49" fontId="27" fillId="3" borderId="0" xfId="0" applyNumberFormat="1" applyFont="1" applyFill="1" applyBorder="1" applyAlignment="1">
      <alignment horizontal="center" vertical="center" wrapText="1"/>
    </xf>
  </cellXfs>
  <cellStyles count="102">
    <cellStyle name="20% - Акцент1 2" xfId="7"/>
    <cellStyle name="20% - Акцент1 3" xfId="8"/>
    <cellStyle name="20% - Акцент2 2" xfId="9"/>
    <cellStyle name="20% - Акцент2 3" xfId="10"/>
    <cellStyle name="20% - Акцент3 2" xfId="11"/>
    <cellStyle name="20% - Акцент3 3" xfId="12"/>
    <cellStyle name="20% - Акцент4 2" xfId="13"/>
    <cellStyle name="20% - Акцент4 3" xfId="14"/>
    <cellStyle name="20% - Акцент5 2" xfId="15"/>
    <cellStyle name="20% - Акцент5 3" xfId="16"/>
    <cellStyle name="20% - Акцент6 2" xfId="17"/>
    <cellStyle name="20% - Акцент6 3" xfId="18"/>
    <cellStyle name="40% - Акцент1 2" xfId="19"/>
    <cellStyle name="40% - Акцент1 3" xfId="20"/>
    <cellStyle name="40% - Акцент2 2" xfId="21"/>
    <cellStyle name="40% - Акцент2 3" xfId="22"/>
    <cellStyle name="40% - Акцент3 2" xfId="23"/>
    <cellStyle name="40% - Акцент3 3" xfId="24"/>
    <cellStyle name="40% - Акцент4 2" xfId="25"/>
    <cellStyle name="40% - Акцент4 3" xfId="26"/>
    <cellStyle name="40% - Акцент5 2" xfId="27"/>
    <cellStyle name="40% - Акцент5 3" xfId="28"/>
    <cellStyle name="40% - Акцент6 2" xfId="29"/>
    <cellStyle name="40% - Акцент6 3" xfId="30"/>
    <cellStyle name="60% - Акцент1 2" xfId="31"/>
    <cellStyle name="60% - Акцент1 3" xfId="32"/>
    <cellStyle name="60% - Акцент2 2" xfId="33"/>
    <cellStyle name="60% - Акцент2 3" xfId="34"/>
    <cellStyle name="60% - Акцент3 2" xfId="35"/>
    <cellStyle name="60% - Акцент3 3" xfId="36"/>
    <cellStyle name="60% - Акцент4 2" xfId="37"/>
    <cellStyle name="60% - Акцент4 3" xfId="38"/>
    <cellStyle name="60% - Акцент5 2" xfId="39"/>
    <cellStyle name="60% - Акцент5 3" xfId="40"/>
    <cellStyle name="60% - Акцент6 2" xfId="41"/>
    <cellStyle name="60% - Акцент6 3" xfId="42"/>
    <cellStyle name="S1" xfId="1"/>
    <cellStyle name="S4" xfId="6"/>
    <cellStyle name="Акцент1 2" xfId="43"/>
    <cellStyle name="Акцент1 3" xfId="44"/>
    <cellStyle name="Акцент2 2" xfId="45"/>
    <cellStyle name="Акцент2 3" xfId="46"/>
    <cellStyle name="Акцент3 2" xfId="47"/>
    <cellStyle name="Акцент3 3" xfId="48"/>
    <cellStyle name="Акцент4 2" xfId="49"/>
    <cellStyle name="Акцент4 3" xfId="50"/>
    <cellStyle name="Акцент5 2" xfId="51"/>
    <cellStyle name="Акцент5 3" xfId="52"/>
    <cellStyle name="Акцент6 2" xfId="53"/>
    <cellStyle name="Акцент6 3" xfId="54"/>
    <cellStyle name="Ввод  2" xfId="55"/>
    <cellStyle name="Ввод  3" xfId="56"/>
    <cellStyle name="Вывод 2" xfId="57"/>
    <cellStyle name="Вывод 3" xfId="58"/>
    <cellStyle name="Вычисление 2" xfId="59"/>
    <cellStyle name="Вычисление 3" xfId="60"/>
    <cellStyle name="Заголовок 1 2" xfId="61"/>
    <cellStyle name="Заголовок 1 3" xfId="62"/>
    <cellStyle name="Заголовок 2 2" xfId="63"/>
    <cellStyle name="Заголовок 2 3" xfId="64"/>
    <cellStyle name="Заголовок 3 2" xfId="65"/>
    <cellStyle name="Заголовок 3 3" xfId="66"/>
    <cellStyle name="Заголовок 4 2" xfId="67"/>
    <cellStyle name="Заголовок 4 3" xfId="68"/>
    <cellStyle name="Итог 2" xfId="69"/>
    <cellStyle name="Итог 3" xfId="70"/>
    <cellStyle name="Контрольная ячейка 2" xfId="71"/>
    <cellStyle name="Контрольная ячейка 3" xfId="72"/>
    <cellStyle name="Название 2" xfId="73"/>
    <cellStyle name="Название 3" xfId="74"/>
    <cellStyle name="Нейтральный 2" xfId="75"/>
    <cellStyle name="Нейтральный 3" xfId="76"/>
    <cellStyle name="Обычный" xfId="0" builtinId="0"/>
    <cellStyle name="Обычный 2" xfId="4"/>
    <cellStyle name="Обычный 2 2" xfId="77"/>
    <cellStyle name="Обычный 2 2 2" xfId="5"/>
    <cellStyle name="Обычный 3" xfId="78"/>
    <cellStyle name="Обычный 4" xfId="3"/>
    <cellStyle name="Обычный 5" xfId="79"/>
    <cellStyle name="Обычный 6" xfId="80"/>
    <cellStyle name="Обычный 6 2" xfId="81"/>
    <cellStyle name="Обычный 7" xfId="82"/>
    <cellStyle name="Обычный 7 2" xfId="83"/>
    <cellStyle name="Обычный 8" xfId="84"/>
    <cellStyle name="Плохой 2" xfId="85"/>
    <cellStyle name="Плохой 3" xfId="86"/>
    <cellStyle name="Пояснение 2" xfId="87"/>
    <cellStyle name="Пояснение 3" xfId="88"/>
    <cellStyle name="Примечание 2" xfId="89"/>
    <cellStyle name="Примечание 3" xfId="90"/>
    <cellStyle name="Процентный 2" xfId="91"/>
    <cellStyle name="Связанная ячейка 2" xfId="92"/>
    <cellStyle name="Связанная ячейка 3" xfId="93"/>
    <cellStyle name="Стиль 1" xfId="2"/>
    <cellStyle name="Текст предупреждения 2" xfId="94"/>
    <cellStyle name="Текст предупреждения 3" xfId="95"/>
    <cellStyle name="Финансовый 2" xfId="96"/>
    <cellStyle name="Финансовый 3" xfId="97"/>
    <cellStyle name="Финансовый 4" xfId="98"/>
    <cellStyle name="Финансовый 5" xfId="99"/>
    <cellStyle name="Хороший 2" xfId="100"/>
    <cellStyle name="Хороший 3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>
      <pane xSplit="2" ySplit="2" topLeftCell="C30" activePane="bottomRight" state="frozen"/>
      <selection pane="topRight" activeCell="C1" sqref="C1"/>
      <selection pane="bottomLeft" activeCell="A4" sqref="A4"/>
      <selection pane="bottomRight" activeCell="J6" sqref="J6"/>
    </sheetView>
  </sheetViews>
  <sheetFormatPr defaultRowHeight="15" x14ac:dyDescent="0.25"/>
  <cols>
    <col min="1" max="1" width="5.85546875" bestFit="1" customWidth="1"/>
    <col min="2" max="2" width="26" customWidth="1"/>
    <col min="3" max="3" width="12.7109375" customWidth="1"/>
    <col min="4" max="4" width="18.42578125" customWidth="1"/>
    <col min="6" max="6" width="11.28515625" customWidth="1"/>
    <col min="7" max="7" width="9.140625" style="131"/>
  </cols>
  <sheetData>
    <row r="1" spans="1:7" ht="51.75" customHeight="1" x14ac:dyDescent="0.25">
      <c r="A1" s="139" t="s">
        <v>2085</v>
      </c>
      <c r="B1" s="139"/>
      <c r="C1" s="139"/>
      <c r="D1" s="139"/>
      <c r="E1" s="139"/>
      <c r="F1" s="139"/>
      <c r="G1" s="139"/>
    </row>
    <row r="2" spans="1:7" ht="38.25" x14ac:dyDescent="0.25">
      <c r="A2" s="136" t="s">
        <v>2089</v>
      </c>
      <c r="B2" s="137" t="s">
        <v>2086</v>
      </c>
      <c r="C2" s="137" t="s">
        <v>2087</v>
      </c>
      <c r="D2" s="137" t="s">
        <v>2090</v>
      </c>
      <c r="E2" s="137" t="s">
        <v>0</v>
      </c>
      <c r="F2" s="137" t="s">
        <v>2091</v>
      </c>
      <c r="G2" s="137" t="s">
        <v>2088</v>
      </c>
    </row>
    <row r="3" spans="1:7" x14ac:dyDescent="0.25">
      <c r="A3" s="133">
        <v>6</v>
      </c>
      <c r="B3" s="26" t="s">
        <v>532</v>
      </c>
      <c r="C3" s="26">
        <f>C4</f>
        <v>3430811</v>
      </c>
      <c r="D3" s="26">
        <f t="shared" ref="D3" si="0">D4</f>
        <v>3338053</v>
      </c>
      <c r="E3" s="26"/>
      <c r="F3" s="26">
        <f t="shared" ref="F3" si="1">F4</f>
        <v>1519007</v>
      </c>
      <c r="G3" s="135">
        <v>1456726</v>
      </c>
    </row>
    <row r="4" spans="1:7" x14ac:dyDescent="0.25">
      <c r="A4" s="129">
        <v>6</v>
      </c>
      <c r="B4" s="11" t="s">
        <v>198</v>
      </c>
      <c r="C4" s="129">
        <f>SUM(C5:C10)</f>
        <v>3430811</v>
      </c>
      <c r="D4" s="129">
        <f>SUM(D5:D10)</f>
        <v>3338053</v>
      </c>
      <c r="E4" s="129"/>
      <c r="F4" s="129">
        <f>SUM(F5:F10)</f>
        <v>1519007</v>
      </c>
      <c r="G4" s="132">
        <v>1456726</v>
      </c>
    </row>
    <row r="5" spans="1:7" ht="45" x14ac:dyDescent="0.25">
      <c r="A5" s="134">
        <v>1</v>
      </c>
      <c r="B5" s="129" t="s">
        <v>199</v>
      </c>
      <c r="C5" s="129">
        <v>774356</v>
      </c>
      <c r="D5" s="129">
        <v>766377</v>
      </c>
      <c r="E5" s="129" t="s">
        <v>9</v>
      </c>
      <c r="F5" s="129">
        <v>511111</v>
      </c>
      <c r="G5" s="132">
        <v>187569</v>
      </c>
    </row>
    <row r="6" spans="1:7" ht="56.25" x14ac:dyDescent="0.25">
      <c r="A6" s="134">
        <v>2</v>
      </c>
      <c r="B6" s="129" t="s">
        <v>208</v>
      </c>
      <c r="C6" s="129">
        <v>294922</v>
      </c>
      <c r="D6" s="129">
        <v>280515</v>
      </c>
      <c r="E6" s="129" t="s">
        <v>9</v>
      </c>
      <c r="F6" s="129">
        <v>78823</v>
      </c>
      <c r="G6" s="132">
        <v>167529</v>
      </c>
    </row>
    <row r="7" spans="1:7" ht="56.25" x14ac:dyDescent="0.25">
      <c r="A7" s="134">
        <v>3</v>
      </c>
      <c r="B7" s="129" t="s">
        <v>1443</v>
      </c>
      <c r="C7" s="129">
        <v>590259</v>
      </c>
      <c r="D7" s="129">
        <v>549266</v>
      </c>
      <c r="E7" s="129" t="s">
        <v>9</v>
      </c>
      <c r="F7" s="129">
        <v>243613</v>
      </c>
      <c r="G7" s="132">
        <v>247872</v>
      </c>
    </row>
    <row r="8" spans="1:7" ht="90" x14ac:dyDescent="0.25">
      <c r="A8" s="134">
        <v>4</v>
      </c>
      <c r="B8" s="41" t="s">
        <v>209</v>
      </c>
      <c r="C8" s="129">
        <v>448433</v>
      </c>
      <c r="D8" s="129">
        <v>440102</v>
      </c>
      <c r="E8" s="129" t="s">
        <v>9</v>
      </c>
      <c r="F8" s="129">
        <v>111111</v>
      </c>
      <c r="G8" s="132">
        <v>271645</v>
      </c>
    </row>
    <row r="9" spans="1:7" ht="90" x14ac:dyDescent="0.25">
      <c r="A9" s="134">
        <v>5</v>
      </c>
      <c r="B9" s="41" t="s">
        <v>211</v>
      </c>
      <c r="C9" s="129">
        <v>275959</v>
      </c>
      <c r="D9" s="129">
        <v>269940</v>
      </c>
      <c r="E9" s="129" t="s">
        <v>9</v>
      </c>
      <c r="F9" s="129">
        <v>111111</v>
      </c>
      <c r="G9" s="132">
        <v>127986</v>
      </c>
    </row>
    <row r="10" spans="1:7" ht="45" x14ac:dyDescent="0.25">
      <c r="A10" s="134">
        <v>6</v>
      </c>
      <c r="B10" s="41" t="s">
        <v>212</v>
      </c>
      <c r="C10" s="129">
        <v>1046882</v>
      </c>
      <c r="D10" s="129">
        <v>1031853</v>
      </c>
      <c r="E10" s="129" t="s">
        <v>9</v>
      </c>
      <c r="F10" s="129">
        <v>463238</v>
      </c>
      <c r="G10" s="132">
        <v>454125</v>
      </c>
    </row>
    <row r="11" spans="1:7" x14ac:dyDescent="0.25">
      <c r="A11" s="26">
        <v>3</v>
      </c>
      <c r="B11" s="26" t="s">
        <v>533</v>
      </c>
      <c r="C11" s="26">
        <f>C12</f>
        <v>1683370.83</v>
      </c>
      <c r="D11" s="26">
        <f t="shared" ref="D11:G11" si="2">D12</f>
        <v>1654262</v>
      </c>
      <c r="E11" s="26"/>
      <c r="F11" s="26">
        <f t="shared" si="2"/>
        <v>675000</v>
      </c>
      <c r="G11" s="26">
        <f t="shared" si="2"/>
        <v>760000</v>
      </c>
    </row>
    <row r="12" spans="1:7" x14ac:dyDescent="0.25">
      <c r="A12" s="129">
        <v>3</v>
      </c>
      <c r="B12" s="11" t="s">
        <v>7</v>
      </c>
      <c r="C12" s="129">
        <f>SUM(C13:C15)</f>
        <v>1683370.83</v>
      </c>
      <c r="D12" s="129">
        <f>SUM(D13:D15)</f>
        <v>1654262</v>
      </c>
      <c r="E12" s="129"/>
      <c r="F12" s="129">
        <f>SUM(F13:F15)</f>
        <v>675000</v>
      </c>
      <c r="G12" s="132">
        <v>760000</v>
      </c>
    </row>
    <row r="13" spans="1:7" ht="45" x14ac:dyDescent="0.25">
      <c r="A13" s="134">
        <v>1</v>
      </c>
      <c r="B13" s="129" t="s">
        <v>1346</v>
      </c>
      <c r="C13" s="129">
        <v>265633</v>
      </c>
      <c r="D13" s="129">
        <v>254968</v>
      </c>
      <c r="E13" s="129" t="s">
        <v>9</v>
      </c>
      <c r="F13" s="129">
        <v>125000</v>
      </c>
      <c r="G13" s="132">
        <v>90341</v>
      </c>
    </row>
    <row r="14" spans="1:7" ht="45" x14ac:dyDescent="0.25">
      <c r="A14" s="134">
        <v>2</v>
      </c>
      <c r="B14" s="129" t="s">
        <v>223</v>
      </c>
      <c r="C14" s="129">
        <v>744645.83</v>
      </c>
      <c r="D14" s="129">
        <v>735409</v>
      </c>
      <c r="E14" s="129" t="s">
        <v>9</v>
      </c>
      <c r="F14" s="129">
        <v>300000</v>
      </c>
      <c r="G14" s="132">
        <v>343374</v>
      </c>
    </row>
    <row r="15" spans="1:7" ht="45" x14ac:dyDescent="0.25">
      <c r="A15" s="134">
        <v>3</v>
      </c>
      <c r="B15" s="129" t="s">
        <v>853</v>
      </c>
      <c r="C15" s="129">
        <v>673092</v>
      </c>
      <c r="D15" s="129">
        <v>663885</v>
      </c>
      <c r="E15" s="129" t="s">
        <v>9</v>
      </c>
      <c r="F15" s="129">
        <v>250000</v>
      </c>
      <c r="G15" s="132">
        <v>326285</v>
      </c>
    </row>
    <row r="16" spans="1:7" x14ac:dyDescent="0.25">
      <c r="A16" s="133">
        <v>8</v>
      </c>
      <c r="B16" s="26" t="s">
        <v>1305</v>
      </c>
      <c r="C16" s="27">
        <f>C17</f>
        <v>6610625</v>
      </c>
      <c r="D16" s="27">
        <f t="shared" ref="D16:G16" si="3">D17</f>
        <v>6352800</v>
      </c>
      <c r="E16" s="27">
        <f t="shared" si="3"/>
        <v>0</v>
      </c>
      <c r="F16" s="27">
        <f t="shared" si="3"/>
        <v>2774767</v>
      </c>
      <c r="G16" s="27">
        <f t="shared" si="3"/>
        <v>1104912</v>
      </c>
    </row>
    <row r="17" spans="1:7" x14ac:dyDescent="0.25">
      <c r="A17" s="129">
        <v>7</v>
      </c>
      <c r="B17" s="11" t="s">
        <v>7</v>
      </c>
      <c r="C17" s="129">
        <f>SUM(C18:C26)</f>
        <v>6610625</v>
      </c>
      <c r="D17" s="129">
        <f>SUM(D18:D26)</f>
        <v>6352800</v>
      </c>
      <c r="E17" s="129"/>
      <c r="F17" s="129">
        <f>SUM(F18:F26)</f>
        <v>2774767</v>
      </c>
      <c r="G17" s="132">
        <v>1104912</v>
      </c>
    </row>
    <row r="18" spans="1:7" ht="45" x14ac:dyDescent="0.25">
      <c r="A18" s="134">
        <v>1</v>
      </c>
      <c r="B18" s="129" t="s">
        <v>1451</v>
      </c>
      <c r="C18" s="129">
        <v>225995</v>
      </c>
      <c r="D18" s="129">
        <v>216794</v>
      </c>
      <c r="E18" s="129" t="s">
        <v>9</v>
      </c>
      <c r="F18" s="129">
        <v>74421</v>
      </c>
      <c r="G18" s="132">
        <v>127581</v>
      </c>
    </row>
    <row r="19" spans="1:7" ht="67.5" x14ac:dyDescent="0.25">
      <c r="A19" s="134">
        <v>2</v>
      </c>
      <c r="B19" s="129" t="s">
        <v>1452</v>
      </c>
      <c r="C19" s="129">
        <v>3360417</v>
      </c>
      <c r="D19" s="129">
        <v>3271357</v>
      </c>
      <c r="E19" s="129" t="s">
        <v>168</v>
      </c>
      <c r="F19" s="129">
        <v>1687341</v>
      </c>
      <c r="G19" s="132">
        <v>438723</v>
      </c>
    </row>
    <row r="20" spans="1:7" ht="45" x14ac:dyDescent="0.25">
      <c r="A20" s="134">
        <v>3</v>
      </c>
      <c r="B20" s="129" t="s">
        <v>1453</v>
      </c>
      <c r="C20" s="129">
        <v>333462</v>
      </c>
      <c r="D20" s="129">
        <v>310359</v>
      </c>
      <c r="E20" s="129" t="s">
        <v>9</v>
      </c>
      <c r="F20" s="129">
        <v>155179</v>
      </c>
      <c r="G20" s="132">
        <v>138442</v>
      </c>
    </row>
    <row r="21" spans="1:7" ht="45" x14ac:dyDescent="0.25">
      <c r="A21" s="134">
        <v>4</v>
      </c>
      <c r="B21" s="129" t="s">
        <v>258</v>
      </c>
      <c r="C21" s="129">
        <v>482734</v>
      </c>
      <c r="D21" s="129">
        <v>459224</v>
      </c>
      <c r="E21" s="129" t="s">
        <v>9</v>
      </c>
      <c r="F21" s="129">
        <v>200000</v>
      </c>
      <c r="G21" s="132">
        <v>233302</v>
      </c>
    </row>
    <row r="22" spans="1:7" ht="56.25" x14ac:dyDescent="0.25">
      <c r="A22" s="134">
        <v>5</v>
      </c>
      <c r="B22" s="111" t="s">
        <v>1932</v>
      </c>
      <c r="C22" s="129">
        <v>373692</v>
      </c>
      <c r="D22" s="129">
        <v>362510</v>
      </c>
      <c r="E22" s="129" t="s">
        <v>196</v>
      </c>
      <c r="F22" s="129">
        <v>269714</v>
      </c>
      <c r="G22" s="132">
        <v>82246</v>
      </c>
    </row>
    <row r="23" spans="1:7" ht="45" x14ac:dyDescent="0.25">
      <c r="A23" s="134">
        <v>6</v>
      </c>
      <c r="B23" s="111" t="s">
        <v>1933</v>
      </c>
      <c r="C23" s="129">
        <v>414450</v>
      </c>
      <c r="D23" s="129">
        <v>393550</v>
      </c>
      <c r="E23" s="129" t="s">
        <v>196</v>
      </c>
      <c r="F23" s="129">
        <v>302162</v>
      </c>
      <c r="G23" s="132">
        <v>80546</v>
      </c>
    </row>
    <row r="24" spans="1:7" ht="45" x14ac:dyDescent="0.25">
      <c r="A24" s="134">
        <v>7</v>
      </c>
      <c r="B24" s="111" t="s">
        <v>1934</v>
      </c>
      <c r="C24" s="129">
        <v>97423</v>
      </c>
      <c r="D24" s="129">
        <v>90474</v>
      </c>
      <c r="E24" s="129" t="s">
        <v>9</v>
      </c>
      <c r="F24" s="129">
        <v>85950</v>
      </c>
      <c r="G24" s="132">
        <v>4072</v>
      </c>
    </row>
    <row r="25" spans="1:7" x14ac:dyDescent="0.25">
      <c r="A25" s="134">
        <v>1</v>
      </c>
      <c r="B25" s="11" t="s">
        <v>8</v>
      </c>
      <c r="C25" s="129">
        <f>C26</f>
        <v>661226</v>
      </c>
      <c r="D25" s="129">
        <f t="shared" ref="D25:F25" si="4">D26</f>
        <v>624266</v>
      </c>
      <c r="E25" s="129" t="str">
        <f t="shared" si="4"/>
        <v>2015-2016</v>
      </c>
      <c r="F25" s="129">
        <f t="shared" si="4"/>
        <v>0</v>
      </c>
      <c r="G25" s="129">
        <f>G26</f>
        <v>50000</v>
      </c>
    </row>
    <row r="26" spans="1:7" ht="45" x14ac:dyDescent="0.25">
      <c r="A26" s="134">
        <v>1</v>
      </c>
      <c r="B26" s="129" t="s">
        <v>491</v>
      </c>
      <c r="C26" s="129">
        <v>661226</v>
      </c>
      <c r="D26" s="129">
        <v>624266</v>
      </c>
      <c r="E26" s="129" t="s">
        <v>10</v>
      </c>
      <c r="F26" s="129">
        <v>0</v>
      </c>
      <c r="G26" s="138">
        <v>50000</v>
      </c>
    </row>
    <row r="27" spans="1:7" x14ac:dyDescent="0.25">
      <c r="A27" s="133">
        <v>6</v>
      </c>
      <c r="B27" s="26" t="s">
        <v>534</v>
      </c>
      <c r="C27" s="26">
        <f>C28</f>
        <v>2684030.4</v>
      </c>
      <c r="D27" s="26">
        <f t="shared" ref="D27" si="5">D28</f>
        <v>2623691.52</v>
      </c>
      <c r="E27" s="26"/>
      <c r="F27" s="26">
        <f t="shared" ref="F27" si="6">F28</f>
        <v>1599073</v>
      </c>
      <c r="G27" s="132">
        <v>462507</v>
      </c>
    </row>
    <row r="28" spans="1:7" x14ac:dyDescent="0.25">
      <c r="A28" s="129">
        <v>6</v>
      </c>
      <c r="B28" s="129" t="s">
        <v>198</v>
      </c>
      <c r="C28" s="129">
        <f>SUM(C29:C34)</f>
        <v>2684030.4</v>
      </c>
      <c r="D28" s="129">
        <f>SUM(D29:D34)</f>
        <v>2623691.52</v>
      </c>
      <c r="E28" s="129"/>
      <c r="F28" s="129">
        <f>SUM(F29:F34)</f>
        <v>1599073</v>
      </c>
      <c r="G28" s="132">
        <v>462507</v>
      </c>
    </row>
    <row r="29" spans="1:7" ht="56.25" x14ac:dyDescent="0.25">
      <c r="A29" s="134">
        <v>1</v>
      </c>
      <c r="B29" s="129" t="s">
        <v>1264</v>
      </c>
      <c r="C29" s="129">
        <v>306414</v>
      </c>
      <c r="D29" s="129">
        <v>303614</v>
      </c>
      <c r="E29" s="129" t="s">
        <v>9</v>
      </c>
      <c r="F29" s="129">
        <v>142857</v>
      </c>
      <c r="G29" s="132">
        <v>107896</v>
      </c>
    </row>
    <row r="30" spans="1:7" ht="56.25" x14ac:dyDescent="0.25">
      <c r="A30" s="134">
        <v>2</v>
      </c>
      <c r="B30" s="129" t="s">
        <v>1265</v>
      </c>
      <c r="C30" s="129">
        <v>351058</v>
      </c>
      <c r="D30" s="129">
        <v>347558</v>
      </c>
      <c r="E30" s="129" t="s">
        <v>9</v>
      </c>
      <c r="F30" s="129">
        <v>142857</v>
      </c>
      <c r="G30" s="132">
        <v>137539</v>
      </c>
    </row>
    <row r="31" spans="1:7" ht="33.75" x14ac:dyDescent="0.25">
      <c r="A31" s="134">
        <v>3</v>
      </c>
      <c r="B31" s="129" t="s">
        <v>1188</v>
      </c>
      <c r="C31" s="129">
        <v>315962.90000000002</v>
      </c>
      <c r="D31" s="129">
        <v>312463</v>
      </c>
      <c r="E31" s="129" t="s">
        <v>9</v>
      </c>
      <c r="F31" s="129">
        <v>156231</v>
      </c>
      <c r="G31" s="132">
        <v>103021</v>
      </c>
    </row>
    <row r="32" spans="1:7" ht="90" x14ac:dyDescent="0.25">
      <c r="A32" s="134">
        <v>4</v>
      </c>
      <c r="B32" s="112" t="s">
        <v>1935</v>
      </c>
      <c r="C32" s="129">
        <v>647281</v>
      </c>
      <c r="D32" s="129">
        <v>639000.65599999996</v>
      </c>
      <c r="E32" s="129" t="s">
        <v>196</v>
      </c>
      <c r="F32" s="129">
        <v>398386</v>
      </c>
      <c r="G32" s="132">
        <v>30431</v>
      </c>
    </row>
    <row r="33" spans="1:7" ht="56.25" x14ac:dyDescent="0.25">
      <c r="A33" s="134">
        <v>5</v>
      </c>
      <c r="B33" s="112" t="s">
        <v>1936</v>
      </c>
      <c r="C33" s="129">
        <v>736679</v>
      </c>
      <c r="D33" s="129">
        <v>699419.86399999994</v>
      </c>
      <c r="E33" s="129" t="s">
        <v>196</v>
      </c>
      <c r="F33" s="129">
        <v>463803</v>
      </c>
      <c r="G33" s="132">
        <v>64932</v>
      </c>
    </row>
    <row r="34" spans="1:7" ht="45" x14ac:dyDescent="0.25">
      <c r="A34" s="134">
        <v>6</v>
      </c>
      <c r="B34" s="112" t="s">
        <v>1937</v>
      </c>
      <c r="C34" s="129">
        <v>326635.5</v>
      </c>
      <c r="D34" s="129">
        <v>321636</v>
      </c>
      <c r="E34" s="129" t="s">
        <v>9</v>
      </c>
      <c r="F34" s="129">
        <v>294939</v>
      </c>
      <c r="G34" s="132">
        <v>18688</v>
      </c>
    </row>
    <row r="35" spans="1:7" ht="22.5" x14ac:dyDescent="0.25">
      <c r="A35" s="26">
        <v>7</v>
      </c>
      <c r="B35" s="26" t="s">
        <v>535</v>
      </c>
      <c r="C35" s="26">
        <f>C36</f>
        <v>4603994.8770000003</v>
      </c>
      <c r="D35" s="26">
        <f t="shared" ref="D35:G35" si="7">D36</f>
        <v>4501171</v>
      </c>
      <c r="E35" s="26">
        <f t="shared" si="7"/>
        <v>0</v>
      </c>
      <c r="F35" s="26">
        <f t="shared" si="7"/>
        <v>1770351</v>
      </c>
      <c r="G35" s="26">
        <f t="shared" si="7"/>
        <v>1708155</v>
      </c>
    </row>
    <row r="36" spans="1:7" x14ac:dyDescent="0.25">
      <c r="A36" s="129">
        <v>7</v>
      </c>
      <c r="B36" s="11" t="s">
        <v>7</v>
      </c>
      <c r="C36" s="129">
        <f>SUM(C37:C43)</f>
        <v>4603994.8770000003</v>
      </c>
      <c r="D36" s="129">
        <f>SUM(D37:D43)</f>
        <v>4501171</v>
      </c>
      <c r="E36" s="129"/>
      <c r="F36" s="129">
        <f>SUM(F37:F43)</f>
        <v>1770351</v>
      </c>
      <c r="G36" s="132">
        <v>1708155</v>
      </c>
    </row>
    <row r="37" spans="1:7" ht="33.75" x14ac:dyDescent="0.25">
      <c r="A37" s="134">
        <v>1</v>
      </c>
      <c r="B37" s="129" t="s">
        <v>282</v>
      </c>
      <c r="C37" s="129">
        <v>438594</v>
      </c>
      <c r="D37" s="129">
        <v>429200</v>
      </c>
      <c r="E37" s="129" t="s">
        <v>9</v>
      </c>
      <c r="F37" s="129">
        <v>166667</v>
      </c>
      <c r="G37" s="132">
        <v>236280</v>
      </c>
    </row>
    <row r="38" spans="1:7" ht="45" x14ac:dyDescent="0.25">
      <c r="A38" s="134">
        <v>2</v>
      </c>
      <c r="B38" s="129" t="s">
        <v>1461</v>
      </c>
      <c r="C38" s="129">
        <v>1343109</v>
      </c>
      <c r="D38" s="129">
        <v>1326693</v>
      </c>
      <c r="E38" s="129" t="s">
        <v>9</v>
      </c>
      <c r="F38" s="129">
        <v>333333</v>
      </c>
      <c r="G38" s="132">
        <v>888044</v>
      </c>
    </row>
    <row r="39" spans="1:7" ht="33.75" x14ac:dyDescent="0.25">
      <c r="A39" s="134">
        <v>3</v>
      </c>
      <c r="B39" s="129" t="s">
        <v>1462</v>
      </c>
      <c r="C39" s="129">
        <v>342517</v>
      </c>
      <c r="D39" s="129">
        <v>327247</v>
      </c>
      <c r="E39" s="129" t="s">
        <v>9</v>
      </c>
      <c r="F39" s="129">
        <v>163623</v>
      </c>
      <c r="G39" s="132">
        <v>143284</v>
      </c>
    </row>
    <row r="40" spans="1:7" ht="33.75" x14ac:dyDescent="0.25">
      <c r="A40" s="134">
        <v>4</v>
      </c>
      <c r="B40" s="129" t="s">
        <v>1272</v>
      </c>
      <c r="C40" s="129">
        <v>1310534.8770000001</v>
      </c>
      <c r="D40" s="129">
        <v>1278924</v>
      </c>
      <c r="E40" s="129" t="s">
        <v>168</v>
      </c>
      <c r="F40" s="129">
        <v>115208</v>
      </c>
      <c r="G40" s="132">
        <v>327357</v>
      </c>
    </row>
    <row r="41" spans="1:7" ht="45" x14ac:dyDescent="0.25">
      <c r="A41" s="134">
        <v>5</v>
      </c>
      <c r="B41" s="112" t="s">
        <v>1964</v>
      </c>
      <c r="C41" s="129">
        <v>683510</v>
      </c>
      <c r="D41" s="129">
        <v>661300</v>
      </c>
      <c r="E41" s="129" t="s">
        <v>196</v>
      </c>
      <c r="F41" s="129">
        <v>627900</v>
      </c>
      <c r="G41" s="132">
        <v>10853</v>
      </c>
    </row>
    <row r="42" spans="1:7" ht="33.75" x14ac:dyDescent="0.25">
      <c r="A42" s="134">
        <v>6</v>
      </c>
      <c r="B42" s="112" t="s">
        <v>1971</v>
      </c>
      <c r="C42" s="129">
        <v>235379</v>
      </c>
      <c r="D42" s="129">
        <v>231301</v>
      </c>
      <c r="E42" s="129" t="s">
        <v>9</v>
      </c>
      <c r="F42" s="129">
        <v>134121</v>
      </c>
      <c r="G42" s="132">
        <v>87083</v>
      </c>
    </row>
    <row r="43" spans="1:7" ht="33.75" x14ac:dyDescent="0.25">
      <c r="A43" s="134">
        <v>7</v>
      </c>
      <c r="B43" s="112" t="s">
        <v>1972</v>
      </c>
      <c r="C43" s="129">
        <v>250351</v>
      </c>
      <c r="D43" s="129">
        <v>246506</v>
      </c>
      <c r="E43" s="129" t="s">
        <v>9</v>
      </c>
      <c r="F43" s="129">
        <v>229499</v>
      </c>
      <c r="G43" s="132">
        <v>15254</v>
      </c>
    </row>
    <row r="44" spans="1:7" x14ac:dyDescent="0.25">
      <c r="A44" s="133">
        <v>7</v>
      </c>
      <c r="B44" s="26" t="s">
        <v>536</v>
      </c>
      <c r="C44" s="27">
        <f>C45</f>
        <v>4647601</v>
      </c>
      <c r="D44" s="27">
        <f t="shared" ref="D44" si="8">D45</f>
        <v>4584481</v>
      </c>
      <c r="E44" s="26"/>
      <c r="F44" s="27">
        <f t="shared" ref="F44" si="9">F45</f>
        <v>2006474</v>
      </c>
      <c r="G44" s="132">
        <v>1546864</v>
      </c>
    </row>
    <row r="45" spans="1:7" x14ac:dyDescent="0.25">
      <c r="A45" s="134">
        <v>7</v>
      </c>
      <c r="B45" s="129" t="s">
        <v>198</v>
      </c>
      <c r="C45" s="129">
        <f>SUM(C46:C52)</f>
        <v>4647601</v>
      </c>
      <c r="D45" s="129">
        <f>SUM(D46:D52)</f>
        <v>4584481</v>
      </c>
      <c r="E45" s="129"/>
      <c r="F45" s="129">
        <f>SUM(F46:F52)</f>
        <v>2006474</v>
      </c>
      <c r="G45" s="132">
        <v>1546864</v>
      </c>
    </row>
    <row r="46" spans="1:7" ht="78.75" x14ac:dyDescent="0.25">
      <c r="A46" s="134">
        <v>1</v>
      </c>
      <c r="B46" s="129" t="s">
        <v>285</v>
      </c>
      <c r="C46" s="129">
        <v>629665</v>
      </c>
      <c r="D46" s="129">
        <v>621338</v>
      </c>
      <c r="E46" s="129" t="s">
        <v>196</v>
      </c>
      <c r="F46" s="129">
        <v>377778</v>
      </c>
      <c r="G46" s="132">
        <v>212830</v>
      </c>
    </row>
    <row r="47" spans="1:7" ht="78.75" x14ac:dyDescent="0.25">
      <c r="A47" s="134">
        <v>2</v>
      </c>
      <c r="B47" s="129" t="s">
        <v>1425</v>
      </c>
      <c r="C47" s="129">
        <v>358442</v>
      </c>
      <c r="D47" s="129">
        <v>350901</v>
      </c>
      <c r="E47" s="129" t="s">
        <v>196</v>
      </c>
      <c r="F47" s="129">
        <v>255555</v>
      </c>
      <c r="G47" s="132">
        <v>80821</v>
      </c>
    </row>
    <row r="48" spans="1:7" ht="45" x14ac:dyDescent="0.25">
      <c r="A48" s="134">
        <v>3</v>
      </c>
      <c r="B48" s="129" t="s">
        <v>288</v>
      </c>
      <c r="C48" s="129">
        <v>498794</v>
      </c>
      <c r="D48" s="129">
        <v>488778</v>
      </c>
      <c r="E48" s="129" t="s">
        <v>196</v>
      </c>
      <c r="F48" s="129">
        <v>355556</v>
      </c>
      <c r="G48" s="132">
        <v>113881</v>
      </c>
    </row>
    <row r="49" spans="1:7" ht="45" x14ac:dyDescent="0.25">
      <c r="A49" s="134">
        <v>4</v>
      </c>
      <c r="B49" s="129" t="s">
        <v>290</v>
      </c>
      <c r="C49" s="129">
        <v>521717</v>
      </c>
      <c r="D49" s="129">
        <v>517254</v>
      </c>
      <c r="E49" s="129" t="s">
        <v>196</v>
      </c>
      <c r="F49" s="129">
        <v>339846</v>
      </c>
      <c r="G49" s="132">
        <v>158562</v>
      </c>
    </row>
    <row r="50" spans="1:7" ht="56.25" x14ac:dyDescent="0.25">
      <c r="A50" s="134">
        <v>5</v>
      </c>
      <c r="B50" s="129" t="s">
        <v>291</v>
      </c>
      <c r="C50" s="129">
        <v>381211</v>
      </c>
      <c r="D50" s="129">
        <v>375313</v>
      </c>
      <c r="E50" s="129" t="s">
        <v>196</v>
      </c>
      <c r="F50" s="129">
        <v>266667</v>
      </c>
      <c r="G50" s="132">
        <v>95804</v>
      </c>
    </row>
    <row r="51" spans="1:7" ht="56.25" x14ac:dyDescent="0.25">
      <c r="A51" s="134">
        <v>6</v>
      </c>
      <c r="B51" s="129" t="s">
        <v>1428</v>
      </c>
      <c r="C51" s="129">
        <v>242234</v>
      </c>
      <c r="D51" s="129">
        <v>233686</v>
      </c>
      <c r="E51" s="129" t="s">
        <v>9</v>
      </c>
      <c r="F51" s="129">
        <v>140812</v>
      </c>
      <c r="G51" s="132">
        <v>82850</v>
      </c>
    </row>
    <row r="52" spans="1:7" ht="45" x14ac:dyDescent="0.25">
      <c r="A52" s="134">
        <v>7</v>
      </c>
      <c r="B52" s="129" t="s">
        <v>293</v>
      </c>
      <c r="C52" s="129">
        <v>2015538</v>
      </c>
      <c r="D52" s="129">
        <v>1997211</v>
      </c>
      <c r="E52" s="129" t="s">
        <v>168</v>
      </c>
      <c r="F52" s="129">
        <v>270260</v>
      </c>
      <c r="G52" s="132">
        <v>802116</v>
      </c>
    </row>
  </sheetData>
  <mergeCells count="1">
    <mergeCell ref="A1:G1"/>
  </mergeCells>
  <pageMargins left="0" right="0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334"/>
  <sheetViews>
    <sheetView view="pageBreakPreview" topLeftCell="B9" zoomScale="70" zoomScaleNormal="115" zoomScaleSheetLayoutView="70" workbookViewId="0">
      <pane xSplit="3" ySplit="21" topLeftCell="E90" activePane="bottomRight" state="frozen"/>
      <selection activeCell="B9" sqref="B9"/>
      <selection pane="topRight" activeCell="E9" sqref="E9"/>
      <selection pane="bottomLeft" activeCell="B30" sqref="B30"/>
      <selection pane="bottomRight" activeCell="Q26" sqref="Q26"/>
    </sheetView>
  </sheetViews>
  <sheetFormatPr defaultRowHeight="61.5" customHeight="1" outlineLevelRow="1" outlineLevelCol="1" x14ac:dyDescent="0.25"/>
  <cols>
    <col min="1" max="1" width="3.7109375" style="1" hidden="1" customWidth="1"/>
    <col min="2" max="2" width="3.7109375" style="1" customWidth="1"/>
    <col min="3" max="3" width="28.42578125" style="1" customWidth="1"/>
    <col min="4" max="4" width="17.7109375" style="1" customWidth="1"/>
    <col min="5" max="5" width="7" style="1" customWidth="1" outlineLevel="1"/>
    <col min="6" max="6" width="9.5703125" style="3" customWidth="1" outlineLevel="1"/>
    <col min="7" max="7" width="9.42578125" style="3" customWidth="1"/>
    <col min="8" max="8" width="11.85546875" style="3" customWidth="1"/>
    <col min="9" max="9" width="10.42578125" style="3" customWidth="1"/>
    <col min="10" max="12" width="3.5703125" style="3" customWidth="1"/>
    <col min="13" max="14" width="9.28515625" style="3" customWidth="1"/>
    <col min="15" max="15" width="9.42578125" style="3" customWidth="1"/>
    <col min="16" max="16" width="4.7109375" style="3" customWidth="1"/>
    <col min="17" max="17" width="8.7109375" style="25" customWidth="1"/>
    <col min="18" max="18" width="4.28515625" style="3" customWidth="1"/>
    <col min="19" max="20" width="10.140625" style="3" customWidth="1"/>
    <col min="21" max="21" width="9.42578125" style="3" customWidth="1"/>
    <col min="22" max="22" width="4.42578125" style="3" customWidth="1"/>
    <col min="23" max="23" width="8.85546875" style="3" customWidth="1"/>
    <col min="24" max="24" width="4.42578125" style="3" customWidth="1"/>
    <col min="25" max="25" width="9.28515625" style="3" customWidth="1"/>
    <col min="26" max="26" width="4.42578125" style="3" customWidth="1"/>
    <col min="27" max="27" width="9.140625" style="3" customWidth="1"/>
    <col min="28" max="28" width="7.85546875" style="3" customWidth="1"/>
    <col min="29" max="29" width="8.7109375" style="25" customWidth="1"/>
    <col min="30" max="30" width="4.28515625" style="3" customWidth="1"/>
    <col min="31" max="31" width="8.5703125" style="3" customWidth="1"/>
    <col min="32" max="32" width="3.28515625" style="3" customWidth="1"/>
    <col min="33" max="33" width="8.28515625" style="3" customWidth="1"/>
    <col min="34" max="34" width="4.5703125" style="3" customWidth="1"/>
    <col min="35" max="35" width="8.28515625" style="3" customWidth="1"/>
    <col min="36" max="39" width="8.5703125" style="3" customWidth="1"/>
    <col min="40" max="40" width="9.85546875" style="3" customWidth="1"/>
    <col min="41" max="43" width="8.5703125" style="3" customWidth="1"/>
    <col min="44" max="44" width="8.5703125" style="25" customWidth="1"/>
    <col min="45" max="45" width="4.42578125" style="3" customWidth="1"/>
    <col min="46" max="46" width="9.7109375" style="3" customWidth="1"/>
    <col min="47" max="47" width="8.28515625" style="3" customWidth="1"/>
    <col min="48" max="48" width="8.85546875" style="3" customWidth="1"/>
    <col min="49" max="52" width="8.28515625" style="3" customWidth="1"/>
    <col min="53" max="53" width="9.28515625" style="3" customWidth="1"/>
    <col min="54" max="54" width="8.28515625" style="3" customWidth="1"/>
    <col min="55" max="55" width="10" style="3" customWidth="1"/>
    <col min="56" max="56" width="8.28515625" style="3" customWidth="1"/>
    <col min="57" max="57" width="10" style="25" customWidth="1"/>
    <col min="58" max="58" width="4.140625" style="3" customWidth="1"/>
    <col min="59" max="59" width="10.85546875" style="3" customWidth="1"/>
    <col min="60" max="60" width="5.7109375" style="3" customWidth="1"/>
    <col min="61" max="61" width="10.5703125" style="3" customWidth="1"/>
    <col min="62" max="62" width="6.42578125" style="3" customWidth="1"/>
    <col min="63" max="65" width="9.7109375" style="3" customWidth="1"/>
    <col min="66" max="66" width="9.5703125" style="3" customWidth="1"/>
    <col min="67" max="67" width="10.7109375" style="3" customWidth="1"/>
    <col min="68" max="68" width="7" style="3" customWidth="1"/>
    <col min="69" max="69" width="7.42578125" style="3" customWidth="1"/>
    <col min="70" max="70" width="6.85546875" style="3" customWidth="1"/>
    <col min="71" max="71" width="5.7109375" style="3" customWidth="1"/>
    <col min="72" max="72" width="8.85546875" style="3" customWidth="1"/>
    <col min="73" max="73" width="24.5703125" style="3" customWidth="1"/>
    <col min="74" max="77" width="9.140625" style="3"/>
    <col min="78" max="16384" width="9.140625" style="1"/>
  </cols>
  <sheetData>
    <row r="1" spans="1:72" ht="14.25" customHeight="1" x14ac:dyDescent="0.25">
      <c r="C1" s="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05"/>
      <c r="AK1" s="105"/>
      <c r="AL1" s="105"/>
      <c r="AM1" s="105"/>
      <c r="AN1" s="105"/>
      <c r="AO1" s="105"/>
      <c r="AP1" s="114"/>
      <c r="AQ1" s="114"/>
      <c r="AR1" s="65"/>
      <c r="AS1" s="66"/>
      <c r="AT1" s="105"/>
      <c r="AU1" s="105"/>
      <c r="AV1" s="105"/>
      <c r="AW1" s="105"/>
      <c r="AX1" s="65"/>
      <c r="AY1" s="65"/>
      <c r="AZ1" s="65"/>
      <c r="BA1" s="65"/>
      <c r="BB1" s="65"/>
      <c r="BC1" s="65"/>
      <c r="BD1" s="65"/>
      <c r="BE1" s="105"/>
      <c r="BN1" s="42"/>
      <c r="BO1" s="42"/>
      <c r="BP1" s="42"/>
      <c r="BQ1" s="42"/>
      <c r="BR1" s="42"/>
      <c r="BS1" s="42"/>
      <c r="BT1" s="42"/>
    </row>
    <row r="2" spans="1:72" ht="14.25" customHeight="1" x14ac:dyDescent="0.25">
      <c r="C2" s="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105"/>
      <c r="P2" s="105"/>
      <c r="Q2" s="105"/>
      <c r="R2" s="105"/>
      <c r="S2" s="105"/>
      <c r="T2" s="105"/>
      <c r="U2" s="114"/>
      <c r="V2" s="114"/>
      <c r="W2" s="114"/>
      <c r="X2" s="114"/>
      <c r="Y2" s="114"/>
      <c r="Z2" s="114"/>
      <c r="AA2" s="114"/>
      <c r="AB2" s="123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14"/>
      <c r="AQ2" s="114"/>
      <c r="AR2" s="65"/>
      <c r="AS2" s="66"/>
      <c r="AT2" s="105"/>
      <c r="AU2" s="105"/>
      <c r="AV2" s="105"/>
      <c r="AW2" s="105"/>
      <c r="AX2" s="65"/>
      <c r="AY2" s="65"/>
      <c r="AZ2" s="65"/>
      <c r="BA2" s="65"/>
      <c r="BB2" s="65"/>
      <c r="BC2" s="65"/>
      <c r="BD2" s="65"/>
      <c r="BE2" s="105"/>
      <c r="BN2" s="42"/>
      <c r="BO2" s="42"/>
      <c r="BP2" s="42"/>
      <c r="BQ2" s="42"/>
      <c r="BR2" s="42"/>
      <c r="BS2" s="42"/>
      <c r="BT2" s="42"/>
    </row>
    <row r="3" spans="1:72" ht="48.75" customHeight="1" x14ac:dyDescent="0.25">
      <c r="C3" s="130" t="s">
        <v>2085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80"/>
      <c r="BT3" s="80"/>
    </row>
    <row r="4" spans="1:72" ht="14.25" customHeight="1" x14ac:dyDescent="0.25">
      <c r="C4" s="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105"/>
      <c r="P4" s="105"/>
      <c r="Q4" s="105"/>
      <c r="R4" s="105"/>
      <c r="S4" s="105"/>
      <c r="T4" s="105"/>
      <c r="U4" s="114"/>
      <c r="V4" s="114"/>
      <c r="W4" s="114"/>
      <c r="X4" s="114"/>
      <c r="Y4" s="114"/>
      <c r="Z4" s="114"/>
      <c r="AA4" s="114"/>
      <c r="AB4" s="123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14"/>
      <c r="AQ4" s="114"/>
      <c r="AR4" s="65"/>
      <c r="AS4" s="66"/>
      <c r="AT4" s="105"/>
      <c r="AU4" s="105"/>
      <c r="AV4" s="105"/>
      <c r="AW4" s="105"/>
      <c r="AX4" s="65"/>
      <c r="AY4" s="65"/>
      <c r="AZ4" s="65"/>
      <c r="BA4" s="65"/>
      <c r="BB4" s="65"/>
      <c r="BC4" s="65"/>
      <c r="BD4" s="65"/>
      <c r="BE4" s="105"/>
      <c r="BN4" s="42"/>
      <c r="BO4" s="42"/>
      <c r="BP4" s="42"/>
      <c r="BQ4" s="42"/>
      <c r="BR4" s="42"/>
      <c r="BS4" s="42"/>
      <c r="BT4" s="42"/>
    </row>
    <row r="5" spans="1:72" ht="14.25" customHeight="1" x14ac:dyDescent="0.25">
      <c r="C5" s="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N5" s="42"/>
      <c r="BO5" s="42"/>
      <c r="BP5" s="42"/>
      <c r="BQ5" s="42"/>
      <c r="BR5" s="42"/>
      <c r="BS5" s="42"/>
      <c r="BT5" s="42"/>
    </row>
    <row r="6" spans="1:72" ht="14.25" customHeight="1" x14ac:dyDescent="0.25"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105"/>
      <c r="P6" s="105"/>
      <c r="Q6" s="105"/>
      <c r="R6" s="105"/>
      <c r="S6" s="105"/>
      <c r="T6" s="105"/>
      <c r="U6" s="114"/>
      <c r="V6" s="114"/>
      <c r="W6" s="114"/>
      <c r="X6" s="114"/>
      <c r="Y6" s="114"/>
      <c r="Z6" s="114"/>
      <c r="AA6" s="114"/>
      <c r="AB6" s="123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14"/>
      <c r="AQ6" s="114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N6" s="42"/>
      <c r="BO6" s="42"/>
      <c r="BP6" s="42"/>
      <c r="BQ6" s="42"/>
      <c r="BR6" s="42"/>
      <c r="BS6" s="42"/>
      <c r="BT6" s="42"/>
    </row>
    <row r="7" spans="1:72" ht="14.25" customHeight="1" x14ac:dyDescent="0.25">
      <c r="A7" s="1">
        <v>6</v>
      </c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1"/>
      <c r="BT7" s="71"/>
    </row>
    <row r="8" spans="1:72" ht="14.25" customHeight="1" x14ac:dyDescent="0.3">
      <c r="B8" s="43"/>
      <c r="C8" s="73" t="s">
        <v>1755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5"/>
      <c r="AS8" s="75"/>
      <c r="AT8" s="75"/>
      <c r="AU8" s="76"/>
      <c r="AV8" s="76"/>
      <c r="AW8" s="76"/>
      <c r="AX8" s="77"/>
      <c r="AY8" s="77"/>
      <c r="AZ8" s="77"/>
      <c r="BA8" s="77"/>
      <c r="BB8" s="77"/>
      <c r="BC8" s="77"/>
      <c r="BD8" s="77"/>
      <c r="BE8" s="76"/>
      <c r="BF8" s="78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170" t="s">
        <v>1735</v>
      </c>
      <c r="BR8" s="171"/>
      <c r="BS8" s="43"/>
      <c r="BT8" s="43"/>
    </row>
    <row r="9" spans="1:72" ht="14.25" customHeight="1" x14ac:dyDescent="0.3">
      <c r="B9" s="43"/>
      <c r="C9" s="73" t="s">
        <v>1756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5"/>
      <c r="AS9" s="75"/>
      <c r="AT9" s="75"/>
      <c r="AU9" s="76"/>
      <c r="AV9" s="76"/>
      <c r="AW9" s="76"/>
      <c r="AX9" s="77"/>
      <c r="AY9" s="77"/>
      <c r="AZ9" s="77"/>
      <c r="BA9" s="77"/>
      <c r="BB9" s="77"/>
      <c r="BC9" s="77"/>
      <c r="BD9" s="77"/>
      <c r="BE9" s="76"/>
      <c r="BF9" s="78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170" t="s">
        <v>1762</v>
      </c>
      <c r="BR9" s="171"/>
      <c r="BS9" s="43"/>
      <c r="BT9" s="43"/>
    </row>
    <row r="10" spans="1:72" ht="14.25" customHeight="1" x14ac:dyDescent="0.3">
      <c r="B10" s="43"/>
      <c r="C10" s="73" t="s">
        <v>1757</v>
      </c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5"/>
      <c r="AS10" s="75"/>
      <c r="AT10" s="75"/>
      <c r="AU10" s="76"/>
      <c r="AV10" s="76"/>
      <c r="AW10" s="76"/>
      <c r="AX10" s="77"/>
      <c r="AY10" s="77"/>
      <c r="AZ10" s="77"/>
      <c r="BA10" s="77"/>
      <c r="BB10" s="77"/>
      <c r="BC10" s="77"/>
      <c r="BD10" s="77"/>
      <c r="BE10" s="76"/>
      <c r="BF10" s="78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166" t="s">
        <v>1766</v>
      </c>
      <c r="BR10" s="167"/>
      <c r="BS10" s="43"/>
      <c r="BT10" s="43"/>
    </row>
    <row r="11" spans="1:72" ht="24" customHeight="1" x14ac:dyDescent="0.3">
      <c r="B11" s="43"/>
      <c r="C11" s="73" t="s">
        <v>1758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172" t="s">
        <v>1765</v>
      </c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  <c r="BJ11" s="172"/>
      <c r="BK11" s="172"/>
      <c r="BL11" s="172"/>
      <c r="BM11" s="172"/>
      <c r="BN11" s="172"/>
      <c r="BQ11" s="166" t="s">
        <v>1767</v>
      </c>
      <c r="BR11" s="167"/>
      <c r="BS11" s="43"/>
      <c r="BT11" s="43"/>
    </row>
    <row r="12" spans="1:72" ht="23.25" customHeight="1" x14ac:dyDescent="0.3">
      <c r="B12" s="43"/>
      <c r="C12" s="79" t="s">
        <v>1759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172" t="s">
        <v>1765</v>
      </c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Q12" s="166" t="s">
        <v>1768</v>
      </c>
      <c r="BR12" s="167"/>
      <c r="BS12" s="43"/>
      <c r="BT12" s="43"/>
    </row>
    <row r="13" spans="1:72" ht="61.5" customHeight="1" x14ac:dyDescent="0.3">
      <c r="B13" s="43"/>
      <c r="C13" s="79" t="s">
        <v>1760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172" t="s">
        <v>1763</v>
      </c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Q13" s="168" t="s">
        <v>1769</v>
      </c>
      <c r="BR13" s="169"/>
      <c r="BS13" s="43"/>
      <c r="BT13" s="43"/>
    </row>
    <row r="14" spans="1:72" ht="14.25" customHeight="1" x14ac:dyDescent="0.3">
      <c r="B14" s="43"/>
      <c r="C14" s="73" t="s">
        <v>1761</v>
      </c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173" t="s">
        <v>1764</v>
      </c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3"/>
      <c r="AT14" s="173"/>
      <c r="AU14" s="173"/>
      <c r="AV14" s="173"/>
      <c r="AW14" s="173"/>
      <c r="AX14" s="173"/>
      <c r="AY14" s="173"/>
      <c r="AZ14" s="173"/>
      <c r="BA14" s="173"/>
      <c r="BB14" s="173"/>
      <c r="BC14" s="173"/>
      <c r="BD14" s="173"/>
      <c r="BE14" s="173"/>
      <c r="BF14" s="173"/>
      <c r="BG14" s="173"/>
      <c r="BH14" s="173"/>
      <c r="BI14" s="173"/>
      <c r="BJ14" s="173"/>
      <c r="BK14" s="173"/>
      <c r="BL14" s="173"/>
      <c r="BM14" s="173"/>
      <c r="BN14" s="173"/>
      <c r="BO14" s="173"/>
      <c r="BQ14" s="170">
        <v>441</v>
      </c>
      <c r="BR14" s="171"/>
      <c r="BS14" s="43"/>
      <c r="BT14" s="43"/>
    </row>
    <row r="15" spans="1:72" ht="14.25" customHeight="1" x14ac:dyDescent="0.25">
      <c r="B15" s="43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43"/>
      <c r="BT15" s="43"/>
    </row>
    <row r="16" spans="1:72" ht="14.25" customHeight="1" x14ac:dyDescent="0.25">
      <c r="B16" s="43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43"/>
      <c r="BT16" s="43"/>
    </row>
    <row r="17" spans="1:72" ht="14.25" customHeight="1" x14ac:dyDescent="0.25"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 t="s">
        <v>23</v>
      </c>
    </row>
    <row r="18" spans="1:72" ht="3" customHeight="1" thickBot="1" x14ac:dyDescent="0.3"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</row>
    <row r="19" spans="1:72" ht="14.25" hidden="1" customHeight="1" thickBot="1" x14ac:dyDescent="0.3"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</row>
    <row r="20" spans="1:72" ht="14.25" hidden="1" customHeight="1" thickBot="1" x14ac:dyDescent="0.3"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</row>
    <row r="21" spans="1:72" ht="51.75" hidden="1" customHeight="1" thickBot="1" x14ac:dyDescent="0.3"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</row>
    <row r="22" spans="1:72" ht="33" customHeight="1" x14ac:dyDescent="0.25">
      <c r="A22" s="161" t="s">
        <v>21</v>
      </c>
      <c r="B22" s="162" t="s">
        <v>22</v>
      </c>
      <c r="C22" s="164" t="s">
        <v>12</v>
      </c>
      <c r="D22" s="164"/>
      <c r="E22" s="164" t="s">
        <v>0</v>
      </c>
      <c r="F22" s="164" t="s">
        <v>13</v>
      </c>
      <c r="G22" s="164" t="s">
        <v>323</v>
      </c>
      <c r="H22" s="164" t="s">
        <v>1732</v>
      </c>
      <c r="I22" s="164" t="s">
        <v>1731</v>
      </c>
      <c r="J22" s="164" t="s">
        <v>1739</v>
      </c>
      <c r="K22" s="164" t="s">
        <v>1740</v>
      </c>
      <c r="L22" s="164" t="s">
        <v>1741</v>
      </c>
      <c r="M22" s="164" t="s">
        <v>24</v>
      </c>
      <c r="N22" s="164" t="s">
        <v>25</v>
      </c>
      <c r="O22" s="159" t="s">
        <v>1736</v>
      </c>
      <c r="P22" s="157" t="s">
        <v>1119</v>
      </c>
      <c r="Q22" s="150" t="s">
        <v>1811</v>
      </c>
      <c r="R22" s="140" t="s">
        <v>5</v>
      </c>
      <c r="S22" s="108" t="s">
        <v>1810</v>
      </c>
      <c r="T22" s="108"/>
      <c r="U22" s="153" t="s">
        <v>2084</v>
      </c>
      <c r="V22" s="149" t="s">
        <v>5</v>
      </c>
      <c r="W22" s="149" t="s">
        <v>1441</v>
      </c>
      <c r="X22" s="149"/>
      <c r="Y22" s="149"/>
      <c r="Z22" s="149"/>
      <c r="AA22" s="140" t="s">
        <v>2059</v>
      </c>
      <c r="AB22" s="140" t="s">
        <v>2061</v>
      </c>
      <c r="AC22" s="153" t="s">
        <v>2060</v>
      </c>
      <c r="AD22" s="149" t="s">
        <v>5</v>
      </c>
      <c r="AE22" s="149" t="s">
        <v>1441</v>
      </c>
      <c r="AF22" s="149"/>
      <c r="AG22" s="149"/>
      <c r="AH22" s="149"/>
      <c r="AI22" s="149" t="s">
        <v>26</v>
      </c>
      <c r="AJ22" s="140" t="s">
        <v>1829</v>
      </c>
      <c r="AK22" s="140" t="s">
        <v>1830</v>
      </c>
      <c r="AL22" s="150" t="s">
        <v>1812</v>
      </c>
      <c r="AM22" s="140" t="s">
        <v>5</v>
      </c>
      <c r="AN22" s="108" t="s">
        <v>1815</v>
      </c>
      <c r="AO22" s="108"/>
      <c r="AP22" s="115" t="s">
        <v>2059</v>
      </c>
      <c r="AQ22" s="115"/>
      <c r="AR22" s="153" t="s">
        <v>1483</v>
      </c>
      <c r="AS22" s="149" t="s">
        <v>1119</v>
      </c>
      <c r="AT22" s="149" t="s">
        <v>19</v>
      </c>
      <c r="AU22" s="149"/>
      <c r="AV22" s="149"/>
      <c r="AW22" s="149"/>
      <c r="AX22" s="149" t="s">
        <v>20</v>
      </c>
      <c r="AY22" s="140" t="s">
        <v>1829</v>
      </c>
      <c r="AZ22" s="140" t="s">
        <v>1830</v>
      </c>
      <c r="BA22" s="150" t="s">
        <v>1813</v>
      </c>
      <c r="BB22" s="140" t="s">
        <v>5</v>
      </c>
      <c r="BC22" s="103" t="s">
        <v>1814</v>
      </c>
      <c r="BD22" s="103"/>
      <c r="BE22" s="153" t="s">
        <v>1484</v>
      </c>
      <c r="BF22" s="155" t="s">
        <v>1119</v>
      </c>
      <c r="BG22" s="155" t="s">
        <v>27</v>
      </c>
      <c r="BH22" s="155"/>
      <c r="BI22" s="155"/>
      <c r="BJ22" s="155"/>
      <c r="BK22" s="155" t="s">
        <v>28</v>
      </c>
      <c r="BL22" s="140" t="s">
        <v>1829</v>
      </c>
      <c r="BM22" s="140" t="s">
        <v>1830</v>
      </c>
      <c r="BN22" s="143" t="s">
        <v>16</v>
      </c>
      <c r="BO22" s="144"/>
      <c r="BP22" s="144"/>
      <c r="BQ22" s="144"/>
      <c r="BR22" s="144"/>
      <c r="BS22" s="144"/>
      <c r="BT22" s="145"/>
    </row>
    <row r="23" spans="1:72" ht="17.25" customHeight="1" x14ac:dyDescent="0.25">
      <c r="A23" s="161"/>
      <c r="B23" s="163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0"/>
      <c r="P23" s="158"/>
      <c r="Q23" s="151"/>
      <c r="R23" s="141"/>
      <c r="S23" s="109"/>
      <c r="T23" s="109"/>
      <c r="U23" s="154"/>
      <c r="V23" s="146"/>
      <c r="W23" s="146" t="s">
        <v>1432</v>
      </c>
      <c r="X23" s="146" t="s">
        <v>6</v>
      </c>
      <c r="Y23" s="146" t="s">
        <v>1433</v>
      </c>
      <c r="Z23" s="146" t="s">
        <v>5</v>
      </c>
      <c r="AA23" s="141"/>
      <c r="AB23" s="141"/>
      <c r="AC23" s="154"/>
      <c r="AD23" s="146"/>
      <c r="AE23" s="146" t="s">
        <v>1432</v>
      </c>
      <c r="AF23" s="146" t="s">
        <v>6</v>
      </c>
      <c r="AG23" s="146" t="s">
        <v>1433</v>
      </c>
      <c r="AH23" s="146" t="s">
        <v>5</v>
      </c>
      <c r="AI23" s="146"/>
      <c r="AJ23" s="141"/>
      <c r="AK23" s="141"/>
      <c r="AL23" s="151"/>
      <c r="AM23" s="141"/>
      <c r="AN23" s="109"/>
      <c r="AO23" s="109"/>
      <c r="AP23" s="116"/>
      <c r="AQ23" s="116"/>
      <c r="AR23" s="154"/>
      <c r="AS23" s="146"/>
      <c r="AT23" s="146" t="s">
        <v>14</v>
      </c>
      <c r="AU23" s="146" t="s">
        <v>6</v>
      </c>
      <c r="AV23" s="146" t="s">
        <v>15</v>
      </c>
      <c r="AW23" s="146" t="s">
        <v>6</v>
      </c>
      <c r="AX23" s="146"/>
      <c r="AY23" s="141"/>
      <c r="AZ23" s="141"/>
      <c r="BA23" s="151"/>
      <c r="BB23" s="141"/>
      <c r="BC23" s="102"/>
      <c r="BD23" s="102"/>
      <c r="BE23" s="154"/>
      <c r="BF23" s="148"/>
      <c r="BG23" s="148" t="s">
        <v>14</v>
      </c>
      <c r="BH23" s="148" t="s">
        <v>6</v>
      </c>
      <c r="BI23" s="148" t="s">
        <v>15</v>
      </c>
      <c r="BJ23" s="148" t="s">
        <v>6</v>
      </c>
      <c r="BK23" s="156"/>
      <c r="BL23" s="141"/>
      <c r="BM23" s="141"/>
      <c r="BN23" s="148" t="s">
        <v>17</v>
      </c>
      <c r="BO23" s="148" t="s">
        <v>18</v>
      </c>
      <c r="BP23" s="148" t="s">
        <v>1</v>
      </c>
      <c r="BQ23" s="148" t="s">
        <v>2</v>
      </c>
      <c r="BR23" s="148" t="s">
        <v>3</v>
      </c>
      <c r="BS23" s="148" t="s">
        <v>4</v>
      </c>
      <c r="BT23" s="147" t="s">
        <v>130</v>
      </c>
    </row>
    <row r="24" spans="1:72" ht="13.5" customHeight="1" x14ac:dyDescent="0.25">
      <c r="A24" s="161"/>
      <c r="B24" s="163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0"/>
      <c r="P24" s="158"/>
      <c r="Q24" s="152"/>
      <c r="R24" s="142"/>
      <c r="S24" s="110"/>
      <c r="T24" s="110"/>
      <c r="U24" s="154"/>
      <c r="V24" s="146"/>
      <c r="W24" s="146"/>
      <c r="X24" s="146"/>
      <c r="Y24" s="146"/>
      <c r="Z24" s="146"/>
      <c r="AA24" s="142"/>
      <c r="AB24" s="142"/>
      <c r="AC24" s="154"/>
      <c r="AD24" s="146"/>
      <c r="AE24" s="146"/>
      <c r="AF24" s="146"/>
      <c r="AG24" s="146"/>
      <c r="AH24" s="146"/>
      <c r="AI24" s="146"/>
      <c r="AJ24" s="142"/>
      <c r="AK24" s="142"/>
      <c r="AL24" s="152"/>
      <c r="AM24" s="142"/>
      <c r="AN24" s="110"/>
      <c r="AO24" s="110"/>
      <c r="AP24" s="117"/>
      <c r="AQ24" s="117"/>
      <c r="AR24" s="154"/>
      <c r="AS24" s="146"/>
      <c r="AT24" s="146"/>
      <c r="AU24" s="146"/>
      <c r="AV24" s="146"/>
      <c r="AW24" s="146"/>
      <c r="AX24" s="146"/>
      <c r="AY24" s="142"/>
      <c r="AZ24" s="142"/>
      <c r="BA24" s="152"/>
      <c r="BB24" s="142"/>
      <c r="BC24" s="102"/>
      <c r="BD24" s="102"/>
      <c r="BE24" s="154"/>
      <c r="BF24" s="148"/>
      <c r="BG24" s="148"/>
      <c r="BH24" s="148"/>
      <c r="BI24" s="148"/>
      <c r="BJ24" s="148"/>
      <c r="BK24" s="156"/>
      <c r="BL24" s="142"/>
      <c r="BM24" s="142"/>
      <c r="BN24" s="148"/>
      <c r="BO24" s="148"/>
      <c r="BP24" s="148"/>
      <c r="BQ24" s="148"/>
      <c r="BR24" s="148"/>
      <c r="BS24" s="148"/>
      <c r="BT24" s="147"/>
    </row>
    <row r="25" spans="1:72" ht="12" customHeight="1" x14ac:dyDescent="0.25">
      <c r="A25" s="46">
        <v>1</v>
      </c>
      <c r="B25" s="52">
        <v>1</v>
      </c>
      <c r="C25" s="4">
        <v>2</v>
      </c>
      <c r="D25" s="4"/>
      <c r="E25" s="4">
        <v>3</v>
      </c>
      <c r="F25" s="5">
        <v>4</v>
      </c>
      <c r="G25" s="5"/>
      <c r="H25" s="5"/>
      <c r="I25" s="5"/>
      <c r="J25" s="5"/>
      <c r="K25" s="5"/>
      <c r="L25" s="5"/>
      <c r="M25" s="5">
        <v>5</v>
      </c>
      <c r="N25" s="5">
        <v>6</v>
      </c>
      <c r="O25" s="5">
        <v>7</v>
      </c>
      <c r="P25" s="5">
        <v>8</v>
      </c>
      <c r="Q25" s="6">
        <v>9</v>
      </c>
      <c r="R25" s="5">
        <v>10</v>
      </c>
      <c r="S25" s="5"/>
      <c r="T25" s="5"/>
      <c r="U25" s="6"/>
      <c r="V25" s="5"/>
      <c r="W25" s="5"/>
      <c r="X25" s="5"/>
      <c r="Y25" s="5"/>
      <c r="Z25" s="5"/>
      <c r="AA25" s="5"/>
      <c r="AB25" s="5"/>
      <c r="AC25" s="6">
        <v>7</v>
      </c>
      <c r="AD25" s="5">
        <v>8</v>
      </c>
      <c r="AE25" s="5">
        <v>9</v>
      </c>
      <c r="AF25" s="5">
        <v>10</v>
      </c>
      <c r="AG25" s="5">
        <v>11</v>
      </c>
      <c r="AH25" s="5">
        <v>12</v>
      </c>
      <c r="AI25" s="5">
        <v>13</v>
      </c>
      <c r="AJ25" s="5"/>
      <c r="AK25" s="5"/>
      <c r="AL25" s="5"/>
      <c r="AM25" s="5"/>
      <c r="AN25" s="5"/>
      <c r="AO25" s="5"/>
      <c r="AP25" s="5"/>
      <c r="AQ25" s="5"/>
      <c r="AR25" s="33">
        <v>14</v>
      </c>
      <c r="AS25" s="7">
        <v>15</v>
      </c>
      <c r="AT25" s="7"/>
      <c r="AU25" s="7"/>
      <c r="AV25" s="7"/>
      <c r="AW25" s="7"/>
      <c r="AX25" s="7">
        <v>18</v>
      </c>
      <c r="AY25" s="7"/>
      <c r="AZ25" s="7"/>
      <c r="BA25" s="7"/>
      <c r="BB25" s="7"/>
      <c r="BC25" s="7"/>
      <c r="BD25" s="7"/>
      <c r="BE25" s="6">
        <v>16</v>
      </c>
      <c r="BF25" s="8">
        <v>17</v>
      </c>
      <c r="BG25" s="8"/>
      <c r="BH25" s="8"/>
      <c r="BI25" s="8"/>
      <c r="BJ25" s="8"/>
      <c r="BK25" s="8">
        <v>21</v>
      </c>
      <c r="BL25" s="8"/>
      <c r="BM25" s="8"/>
      <c r="BN25" s="8">
        <v>18</v>
      </c>
      <c r="BO25" s="8">
        <v>19</v>
      </c>
      <c r="BP25" s="8">
        <v>20</v>
      </c>
      <c r="BQ25" s="8">
        <v>21</v>
      </c>
      <c r="BR25" s="8">
        <v>22</v>
      </c>
      <c r="BS25" s="8">
        <v>23</v>
      </c>
      <c r="BT25" s="53">
        <v>28</v>
      </c>
    </row>
    <row r="26" spans="1:72" ht="17.25" customHeight="1" x14ac:dyDescent="0.25">
      <c r="A26" s="47"/>
      <c r="B26" s="54">
        <f>B29+B40+B60+B96+B111+B134+B148+B175+B185+B209+B232+B246+B271+B320</f>
        <v>235</v>
      </c>
      <c r="C26" s="9" t="s">
        <v>430</v>
      </c>
      <c r="D26" s="9"/>
      <c r="E26" s="9"/>
      <c r="F26" s="104">
        <f>F29+F40+F60+F96+F111+F134+F148+F175+F185+F209+F232+F246+F271+F320</f>
        <v>129663364.77200001</v>
      </c>
      <c r="G26" s="104">
        <f>G29+G40+G60+G96+G111+G134+G148+G175+G185+G209+G232+G246+G271+G320</f>
        <v>125928599.177</v>
      </c>
      <c r="H26" s="104"/>
      <c r="I26" s="104"/>
      <c r="J26" s="104"/>
      <c r="K26" s="104"/>
      <c r="L26" s="104"/>
      <c r="M26" s="104">
        <f>M29+M40+M60+M96+M111+M134+M148+M175+M185+M209+M232+M246+M271+M320</f>
        <v>29988839</v>
      </c>
      <c r="N26" s="104">
        <f>N29+N40+N60+N96+N111+N134+N148+N175+N185+N209+N232+N246+N271+N320</f>
        <v>24411847.242063493</v>
      </c>
      <c r="O26" s="104">
        <v>61500191.333333328</v>
      </c>
      <c r="P26" s="104">
        <v>252</v>
      </c>
      <c r="Q26" s="26">
        <v>37000000</v>
      </c>
      <c r="R26" s="104">
        <v>172</v>
      </c>
      <c r="S26" s="26">
        <f t="shared" ref="S26:AI27" si="0">S29+S40+S60+S96+S111+S134+S148+S175+S185+S209+S232+S246+S271+S320</f>
        <v>16982647</v>
      </c>
      <c r="T26" s="26">
        <f t="shared" si="0"/>
        <v>0</v>
      </c>
      <c r="U26" s="26">
        <f t="shared" ref="U26:V26" si="1">U29+U40+U60+U96+U111+U134+U148+U175+U185+U209+U232+U246+U271+U320</f>
        <v>37000000</v>
      </c>
      <c r="V26" s="67">
        <f t="shared" si="1"/>
        <v>185</v>
      </c>
      <c r="W26" s="67">
        <f t="shared" ref="W26:AC26" si="2">W29+W40+W60+W96+W111+W134+W148+W175+W185+W209+W232+W246+W271+W320</f>
        <v>19513735</v>
      </c>
      <c r="X26" s="67">
        <f t="shared" si="2"/>
        <v>87</v>
      </c>
      <c r="Y26" s="67">
        <f t="shared" si="2"/>
        <v>17486265</v>
      </c>
      <c r="Z26" s="67">
        <f t="shared" si="2"/>
        <v>98</v>
      </c>
      <c r="AA26" s="67">
        <f t="shared" si="2"/>
        <v>-17436265</v>
      </c>
      <c r="AB26" s="67">
        <f t="shared" ref="AB26" si="3">AB29+AB40+AB60+AB96+AB111+AB134+AB148+AB175+AB185+AB209+AB232+AB246+AB271+AB320</f>
        <v>1040680</v>
      </c>
      <c r="AC26" s="26">
        <f t="shared" si="2"/>
        <v>20604415</v>
      </c>
      <c r="AD26" s="104">
        <f t="shared" si="0"/>
        <v>110</v>
      </c>
      <c r="AE26" s="104">
        <f t="shared" si="0"/>
        <v>20554415</v>
      </c>
      <c r="AF26" s="104">
        <f t="shared" si="0"/>
        <v>109</v>
      </c>
      <c r="AG26" s="104">
        <f t="shared" si="0"/>
        <v>50000</v>
      </c>
      <c r="AH26" s="104">
        <f t="shared" si="0"/>
        <v>1</v>
      </c>
      <c r="AI26" s="104">
        <f t="shared" si="0"/>
        <v>3807432.2420634925</v>
      </c>
      <c r="AJ26" s="113">
        <f t="shared" ref="AJ26:AQ26" si="4">AJ29+AJ40+AJ60+AJ96+AJ111+AJ134+AJ148+AJ175+AJ185+AJ209+AJ232+AJ246+AJ271+AJ320</f>
        <v>130</v>
      </c>
      <c r="AK26" s="113">
        <f t="shared" si="4"/>
        <v>55</v>
      </c>
      <c r="AL26" s="113">
        <f t="shared" si="4"/>
        <v>33750729.5</v>
      </c>
      <c r="AM26" s="113">
        <f t="shared" si="4"/>
        <v>87</v>
      </c>
      <c r="AN26" s="113">
        <f t="shared" si="4"/>
        <v>-20671633</v>
      </c>
      <c r="AO26" s="113">
        <f t="shared" si="4"/>
        <v>0</v>
      </c>
      <c r="AP26" s="113">
        <f t="shared" si="4"/>
        <v>16395585</v>
      </c>
      <c r="AQ26" s="113">
        <f t="shared" si="4"/>
        <v>0</v>
      </c>
      <c r="AR26" s="26">
        <f t="shared" ref="AR26:AZ27" si="5">AR29+AR40+AR60+AR96+AR111+AR134+AR148+AR175+AR185+AR209+AR232+AR246+AR271+AR320</f>
        <v>54422362.5</v>
      </c>
      <c r="AS26" s="104">
        <f t="shared" si="5"/>
        <v>174</v>
      </c>
      <c r="AT26" s="104">
        <f t="shared" si="5"/>
        <v>15305640</v>
      </c>
      <c r="AU26" s="104">
        <f t="shared" si="5"/>
        <v>49</v>
      </c>
      <c r="AV26" s="104">
        <f t="shared" si="5"/>
        <v>39116722.5</v>
      </c>
      <c r="AW26" s="104">
        <f t="shared" si="5"/>
        <v>126</v>
      </c>
      <c r="AX26" s="104">
        <f t="shared" si="5"/>
        <v>9917518.2579365112</v>
      </c>
      <c r="AY26" s="104">
        <f t="shared" si="5"/>
        <v>100</v>
      </c>
      <c r="AZ26" s="104">
        <f t="shared" si="5"/>
        <v>60567</v>
      </c>
      <c r="BA26" s="104">
        <v>37931999.5</v>
      </c>
      <c r="BB26" s="104">
        <v>108</v>
      </c>
      <c r="BC26" s="26">
        <f t="shared" ref="BC26:BM27" si="6">BC29+BC40+BC60+BC96+BC111+BC134+BC148+BC175+BC185+BC209+BC232+BC246+BC271+BC320</f>
        <v>19866468</v>
      </c>
      <c r="BD26" s="26">
        <f t="shared" si="6"/>
        <v>0</v>
      </c>
      <c r="BE26" s="26">
        <f t="shared" si="6"/>
        <v>6082705.5</v>
      </c>
      <c r="BF26" s="104">
        <f t="shared" si="6"/>
        <v>9</v>
      </c>
      <c r="BG26" s="104">
        <f t="shared" si="6"/>
        <v>6082705.5</v>
      </c>
      <c r="BH26" s="104">
        <f t="shared" si="6"/>
        <v>9</v>
      </c>
      <c r="BI26" s="104">
        <f t="shared" si="6"/>
        <v>0</v>
      </c>
      <c r="BJ26" s="104">
        <f t="shared" si="6"/>
        <v>0</v>
      </c>
      <c r="BK26" s="104">
        <f t="shared" si="6"/>
        <v>1266549.7976190476</v>
      </c>
      <c r="BL26" s="104">
        <f t="shared" si="6"/>
        <v>8</v>
      </c>
      <c r="BM26" s="104">
        <f t="shared" si="6"/>
        <v>0</v>
      </c>
      <c r="BN26" s="104"/>
      <c r="BO26" s="104"/>
      <c r="BP26" s="104"/>
      <c r="BQ26" s="104"/>
      <c r="BR26" s="104"/>
      <c r="BS26" s="104"/>
      <c r="BT26" s="55"/>
    </row>
    <row r="27" spans="1:72" ht="20.25" customHeight="1" x14ac:dyDescent="0.25">
      <c r="A27" s="106"/>
      <c r="B27" s="107"/>
      <c r="C27" s="104" t="s">
        <v>7</v>
      </c>
      <c r="D27" s="104"/>
      <c r="E27" s="104"/>
      <c r="F27" s="41">
        <f>F30+F41+F61+F97+F112+F135+F149+F176+F186+F210+F233+F247+F272+F321</f>
        <v>120111091.37199999</v>
      </c>
      <c r="G27" s="41">
        <f>G30+G41+G61+G97+G112+G135+G149+G176+G186+G210+G233+G247+G272+G321</f>
        <v>116613444.177</v>
      </c>
      <c r="H27" s="41" t="e">
        <f>H30+H41+H61+H97+H112+H135+H149+H176+H186+H210+H233+H247+H272+H321</f>
        <v>#REF!</v>
      </c>
      <c r="I27" s="41" t="e">
        <f>I30+I41+I61+I97+I112+I135+I149+I176+I186+I210+I233+I247+I272+I321</f>
        <v>#REF!</v>
      </c>
      <c r="J27" s="41">
        <f>J30+J41+J61+J97+J112+J135+J149+J176+J186+J210+J233+J247+J272+J321</f>
        <v>2</v>
      </c>
      <c r="K27" s="41">
        <f>K30+K41+K61+K97+K112+K135+K149+K176+K186+K210+K233+K247+K272+K321</f>
        <v>0</v>
      </c>
      <c r="L27" s="41">
        <f>L30+L41+L61+L97+L112+L135+L149+L176+L186+L210+L233+L247+L272+L321</f>
        <v>0</v>
      </c>
      <c r="M27" s="41">
        <f>M30+M41+M61+M97+M112+M135+M149+M176+M186+M210+M233+M247+M272+M321</f>
        <v>29488839</v>
      </c>
      <c r="N27" s="41">
        <f>N30+N41+N61+N97+N112+N135+N149+N176+N186+N210+N233+N247+N272+N321</f>
        <v>23860513.908730157</v>
      </c>
      <c r="O27" s="41">
        <f>O30+O41+O61+O97+O112+O135+O149+O176+O186+O210+O233+O247+O272+O321</f>
        <v>55507282.333333328</v>
      </c>
      <c r="P27" s="41">
        <f>P30+P41+P61+P97+P112+P135+P149+P176+P186+P210+P233+P247+P272+P321</f>
        <v>241</v>
      </c>
      <c r="Q27" s="41">
        <f>Q30+Q41+Q61+Q97+Q112+Q135+Q149+Q176+Q186+Q210+Q233+Q247+Q272+Q321</f>
        <v>34152974</v>
      </c>
      <c r="R27" s="41">
        <f>R30+R41+R61+R97+R112+R135+R149+R176+R186+R210+R233+R247+R272+R321</f>
        <v>162</v>
      </c>
      <c r="S27" s="41">
        <f t="shared" si="0"/>
        <v>14534410</v>
      </c>
      <c r="T27" s="41">
        <f t="shared" si="0"/>
        <v>0</v>
      </c>
      <c r="U27" s="27">
        <f t="shared" ref="U27:V27" si="7">U30+U41+U61+U97+U112+U135+U149+U176+U186+U210+U233+U247+U272+U321</f>
        <v>34561253</v>
      </c>
      <c r="V27" s="69">
        <f t="shared" si="7"/>
        <v>175</v>
      </c>
      <c r="W27" s="69">
        <f t="shared" ref="W27:AC27" si="8">W30+W41+W61+W97+W112+W135+W149+W176+W186+W210+W233+W247+W272+W321</f>
        <v>19067535</v>
      </c>
      <c r="X27" s="69">
        <f t="shared" si="8"/>
        <v>86</v>
      </c>
      <c r="Y27" s="69">
        <f t="shared" si="8"/>
        <v>15493718</v>
      </c>
      <c r="Z27" s="69">
        <f t="shared" si="8"/>
        <v>89</v>
      </c>
      <c r="AA27" s="69">
        <f t="shared" si="8"/>
        <v>-15493718</v>
      </c>
      <c r="AB27" s="69">
        <f t="shared" ref="AB27" si="9">AB30+AB41+AB61+AB97+AB112+AB135+AB149+AB176+AB186+AB210+AB233+AB247+AB272+AB321</f>
        <v>1040680</v>
      </c>
      <c r="AC27" s="27">
        <f t="shared" si="8"/>
        <v>20108215</v>
      </c>
      <c r="AD27" s="41">
        <f t="shared" si="0"/>
        <v>106</v>
      </c>
      <c r="AE27" s="41">
        <f t="shared" si="0"/>
        <v>20108215</v>
      </c>
      <c r="AF27" s="41">
        <f t="shared" si="0"/>
        <v>108</v>
      </c>
      <c r="AG27" s="41">
        <f t="shared" si="0"/>
        <v>0</v>
      </c>
      <c r="AH27" s="41">
        <f t="shared" si="0"/>
        <v>0</v>
      </c>
      <c r="AI27" s="41">
        <f t="shared" si="0"/>
        <v>3752298.9087301595</v>
      </c>
      <c r="AJ27" s="41">
        <f t="shared" ref="AJ27:AQ27" si="10">AJ30+AJ41+AJ61+AJ97+AJ112+AJ135+AJ149+AJ176+AJ186+AJ210+AJ233+AJ247+AJ272+AJ321</f>
        <v>127</v>
      </c>
      <c r="AK27" s="41">
        <f t="shared" si="10"/>
        <v>48</v>
      </c>
      <c r="AL27" s="41">
        <f t="shared" si="10"/>
        <v>29555202.5</v>
      </c>
      <c r="AM27" s="41">
        <f t="shared" si="10"/>
        <v>79</v>
      </c>
      <c r="AN27" s="41">
        <f t="shared" si="10"/>
        <v>-17989086</v>
      </c>
      <c r="AO27" s="41">
        <f t="shared" si="10"/>
        <v>0</v>
      </c>
      <c r="AP27" s="41">
        <f t="shared" si="10"/>
        <v>14453038</v>
      </c>
      <c r="AQ27" s="41">
        <f t="shared" si="10"/>
        <v>0</v>
      </c>
      <c r="AR27" s="27">
        <f t="shared" si="5"/>
        <v>47544288.5</v>
      </c>
      <c r="AS27" s="41">
        <f t="shared" si="5"/>
        <v>163</v>
      </c>
      <c r="AT27" s="41">
        <f t="shared" si="5"/>
        <v>13906601</v>
      </c>
      <c r="AU27" s="41">
        <f t="shared" si="5"/>
        <v>44</v>
      </c>
      <c r="AV27" s="41">
        <f t="shared" si="5"/>
        <v>33637687.5</v>
      </c>
      <c r="AW27" s="41">
        <f t="shared" si="5"/>
        <v>119</v>
      </c>
      <c r="AX27" s="41">
        <f t="shared" si="5"/>
        <v>8834844.3968253992</v>
      </c>
      <c r="AY27" s="41">
        <f t="shared" si="5"/>
        <v>91</v>
      </c>
      <c r="AZ27" s="41">
        <f t="shared" si="5"/>
        <v>10</v>
      </c>
      <c r="BA27" s="41">
        <f>BA30+BA41+BA61+BA97+BA112+BA135+BA149+BA176+BA186+BA210+BA233+BA247+BA272+BA321</f>
        <v>23078448.5</v>
      </c>
      <c r="BB27" s="41">
        <f>BB30+BB41+BB61+BB97+BB112+BB135+BB149+BB176+BB186+BB210+BB233+BB247+BB272+BB321</f>
        <v>90</v>
      </c>
      <c r="BC27" s="41">
        <f t="shared" si="6"/>
        <v>16995743</v>
      </c>
      <c r="BD27" s="41">
        <f t="shared" si="6"/>
        <v>0</v>
      </c>
      <c r="BE27" s="27">
        <f t="shared" si="6"/>
        <v>6082705.5</v>
      </c>
      <c r="BF27" s="41">
        <f t="shared" si="6"/>
        <v>9</v>
      </c>
      <c r="BG27" s="41">
        <f t="shared" si="6"/>
        <v>6082705.5</v>
      </c>
      <c r="BH27" s="41">
        <f t="shared" si="6"/>
        <v>9</v>
      </c>
      <c r="BI27" s="41">
        <f t="shared" si="6"/>
        <v>0</v>
      </c>
      <c r="BJ27" s="41">
        <f t="shared" si="6"/>
        <v>0</v>
      </c>
      <c r="BK27" s="41">
        <f t="shared" si="6"/>
        <v>1266549.7976190476</v>
      </c>
      <c r="BL27" s="41">
        <f t="shared" si="6"/>
        <v>8</v>
      </c>
      <c r="BM27" s="41">
        <f t="shared" si="6"/>
        <v>0</v>
      </c>
      <c r="BN27" s="41"/>
      <c r="BO27" s="41"/>
      <c r="BP27" s="41"/>
      <c r="BQ27" s="41"/>
      <c r="BR27" s="41"/>
      <c r="BS27" s="41"/>
      <c r="BT27" s="56"/>
    </row>
    <row r="28" spans="1:72" ht="18.75" customHeight="1" x14ac:dyDescent="0.25">
      <c r="A28" s="106"/>
      <c r="B28" s="107"/>
      <c r="C28" s="104" t="s">
        <v>8</v>
      </c>
      <c r="D28" s="104"/>
      <c r="E28" s="104"/>
      <c r="F28" s="104">
        <f t="shared" ref="F28:BM28" si="11">F58+F91+F132+F183+F207+F266</f>
        <v>9552273.4000000004</v>
      </c>
      <c r="G28" s="104">
        <f t="shared" si="11"/>
        <v>9315155</v>
      </c>
      <c r="H28" s="104">
        <f t="shared" si="11"/>
        <v>1551334</v>
      </c>
      <c r="I28" s="104">
        <f t="shared" si="11"/>
        <v>9198</v>
      </c>
      <c r="J28" s="104">
        <f t="shared" si="11"/>
        <v>1</v>
      </c>
      <c r="K28" s="104">
        <f t="shared" si="11"/>
        <v>0</v>
      </c>
      <c r="L28" s="104">
        <f t="shared" si="11"/>
        <v>0</v>
      </c>
      <c r="M28" s="104">
        <f t="shared" si="11"/>
        <v>500000</v>
      </c>
      <c r="N28" s="104">
        <f t="shared" si="11"/>
        <v>551333.33333333326</v>
      </c>
      <c r="O28" s="104">
        <f t="shared" si="11"/>
        <v>5511278</v>
      </c>
      <c r="P28" s="104">
        <f t="shared" si="11"/>
        <v>12</v>
      </c>
      <c r="Q28" s="104">
        <f t="shared" si="11"/>
        <v>2847026</v>
      </c>
      <c r="R28" s="104">
        <f t="shared" si="11"/>
        <v>10</v>
      </c>
      <c r="S28" s="104">
        <f t="shared" si="11"/>
        <v>2350826</v>
      </c>
      <c r="T28" s="104">
        <f t="shared" si="11"/>
        <v>0</v>
      </c>
      <c r="U28" s="26">
        <f t="shared" ref="U28:V28" si="12">U58+U91+U132+U183+U207+U266</f>
        <v>2438747</v>
      </c>
      <c r="V28" s="67">
        <f t="shared" si="12"/>
        <v>10</v>
      </c>
      <c r="W28" s="67">
        <f t="shared" ref="W28:AC28" si="13">W58+W91+W132+W183+W207+W266</f>
        <v>446200</v>
      </c>
      <c r="X28" s="67">
        <f t="shared" si="13"/>
        <v>1</v>
      </c>
      <c r="Y28" s="67">
        <f t="shared" si="13"/>
        <v>1992547</v>
      </c>
      <c r="Z28" s="67">
        <f t="shared" si="13"/>
        <v>9</v>
      </c>
      <c r="AA28" s="67">
        <f t="shared" si="13"/>
        <v>-1942547</v>
      </c>
      <c r="AB28" s="67">
        <f t="shared" ref="AB28" si="14">AB58+AB91+AB132+AB183+AB207+AB266</f>
        <v>0</v>
      </c>
      <c r="AC28" s="26">
        <f t="shared" si="13"/>
        <v>496200</v>
      </c>
      <c r="AD28" s="104">
        <f t="shared" si="11"/>
        <v>2</v>
      </c>
      <c r="AE28" s="104">
        <f t="shared" si="11"/>
        <v>446200</v>
      </c>
      <c r="AF28" s="104">
        <f t="shared" si="11"/>
        <v>1</v>
      </c>
      <c r="AG28" s="104">
        <f t="shared" si="11"/>
        <v>50000</v>
      </c>
      <c r="AH28" s="104">
        <f t="shared" si="11"/>
        <v>1</v>
      </c>
      <c r="AI28" s="104">
        <f t="shared" si="11"/>
        <v>55133.333333333336</v>
      </c>
      <c r="AJ28" s="113">
        <f t="shared" ref="AJ28:AQ28" si="15">AJ58+AJ91+AJ132+AJ183+AJ207+AJ266</f>
        <v>3</v>
      </c>
      <c r="AK28" s="113">
        <f t="shared" si="15"/>
        <v>7</v>
      </c>
      <c r="AL28" s="113">
        <f t="shared" si="15"/>
        <v>4195527</v>
      </c>
      <c r="AM28" s="113">
        <f t="shared" si="15"/>
        <v>8</v>
      </c>
      <c r="AN28" s="113">
        <f t="shared" si="15"/>
        <v>-2682547</v>
      </c>
      <c r="AO28" s="113">
        <f t="shared" si="15"/>
        <v>0</v>
      </c>
      <c r="AP28" s="113">
        <f t="shared" si="15"/>
        <v>1942547</v>
      </c>
      <c r="AQ28" s="113">
        <f t="shared" si="15"/>
        <v>0</v>
      </c>
      <c r="AR28" s="26">
        <f t="shared" si="11"/>
        <v>6878074</v>
      </c>
      <c r="AS28" s="104">
        <f t="shared" si="11"/>
        <v>11</v>
      </c>
      <c r="AT28" s="104">
        <f t="shared" si="11"/>
        <v>1399039</v>
      </c>
      <c r="AU28" s="104">
        <f t="shared" si="11"/>
        <v>5</v>
      </c>
      <c r="AV28" s="104">
        <f t="shared" si="11"/>
        <v>5479035</v>
      </c>
      <c r="AW28" s="104">
        <f t="shared" si="11"/>
        <v>7</v>
      </c>
      <c r="AX28" s="104">
        <f t="shared" si="11"/>
        <v>1082673.861111111</v>
      </c>
      <c r="AY28" s="104">
        <f t="shared" si="11"/>
        <v>9</v>
      </c>
      <c r="AZ28" s="104">
        <f t="shared" si="11"/>
        <v>60557</v>
      </c>
      <c r="BA28" s="104">
        <f t="shared" si="11"/>
        <v>1505605</v>
      </c>
      <c r="BB28" s="104">
        <f t="shared" si="11"/>
        <v>6</v>
      </c>
      <c r="BC28" s="104">
        <f t="shared" si="11"/>
        <v>1505605</v>
      </c>
      <c r="BD28" s="104">
        <f t="shared" si="11"/>
        <v>0</v>
      </c>
      <c r="BE28" s="26">
        <f t="shared" si="11"/>
        <v>0</v>
      </c>
      <c r="BF28" s="104">
        <f t="shared" si="11"/>
        <v>0</v>
      </c>
      <c r="BG28" s="104">
        <f t="shared" si="11"/>
        <v>0</v>
      </c>
      <c r="BH28" s="104">
        <f t="shared" si="11"/>
        <v>0</v>
      </c>
      <c r="BI28" s="104">
        <f t="shared" si="11"/>
        <v>0</v>
      </c>
      <c r="BJ28" s="104">
        <f t="shared" si="11"/>
        <v>0</v>
      </c>
      <c r="BK28" s="104">
        <f t="shared" si="11"/>
        <v>0</v>
      </c>
      <c r="BL28" s="104">
        <f t="shared" si="11"/>
        <v>0</v>
      </c>
      <c r="BM28" s="104">
        <f t="shared" si="11"/>
        <v>0</v>
      </c>
      <c r="BN28" s="104"/>
      <c r="BO28" s="104"/>
      <c r="BP28" s="104"/>
      <c r="BQ28" s="104"/>
      <c r="BR28" s="104"/>
      <c r="BS28" s="104"/>
      <c r="BT28" s="55"/>
    </row>
    <row r="29" spans="1:72" ht="21" customHeight="1" x14ac:dyDescent="0.25">
      <c r="A29" s="106"/>
      <c r="B29" s="57">
        <v>11</v>
      </c>
      <c r="C29" s="26" t="s">
        <v>532</v>
      </c>
      <c r="D29" s="26"/>
      <c r="E29" s="26"/>
      <c r="F29" s="26">
        <f>F30</f>
        <v>4873821</v>
      </c>
      <c r="G29" s="26">
        <f t="shared" ref="G29:BM29" si="16">G30</f>
        <v>4739948.0479999995</v>
      </c>
      <c r="H29" s="26">
        <f>H30</f>
        <v>3107254</v>
      </c>
      <c r="I29" s="26">
        <f>I30</f>
        <v>230799</v>
      </c>
      <c r="J29" s="26"/>
      <c r="K29" s="26"/>
      <c r="L29" s="26"/>
      <c r="M29" s="26">
        <f t="shared" si="16"/>
        <v>1519007</v>
      </c>
      <c r="N29" s="26">
        <f t="shared" si="16"/>
        <v>1618584.4444444445</v>
      </c>
      <c r="O29" s="26">
        <v>2972174</v>
      </c>
      <c r="P29" s="26">
        <v>11</v>
      </c>
      <c r="Q29" s="26">
        <v>2319349</v>
      </c>
      <c r="R29" s="26">
        <v>9</v>
      </c>
      <c r="S29" s="26">
        <f t="shared" si="16"/>
        <v>862623</v>
      </c>
      <c r="T29" s="26">
        <f t="shared" si="16"/>
        <v>0</v>
      </c>
      <c r="U29" s="26">
        <f t="shared" si="16"/>
        <v>2009349</v>
      </c>
      <c r="V29" s="26">
        <f t="shared" si="16"/>
        <v>9</v>
      </c>
      <c r="W29" s="26">
        <f t="shared" si="16"/>
        <v>1410154</v>
      </c>
      <c r="X29" s="26">
        <f t="shared" si="16"/>
        <v>6</v>
      </c>
      <c r="Y29" s="26">
        <f t="shared" si="16"/>
        <v>599195</v>
      </c>
      <c r="Z29" s="26">
        <f t="shared" si="16"/>
        <v>3</v>
      </c>
      <c r="AA29" s="26">
        <f t="shared" si="16"/>
        <v>-599195</v>
      </c>
      <c r="AB29" s="26">
        <f t="shared" si="16"/>
        <v>46572</v>
      </c>
      <c r="AC29" s="26">
        <f t="shared" si="16"/>
        <v>1456726</v>
      </c>
      <c r="AD29" s="26">
        <f t="shared" ref="AD29:AD85" si="17">AF29+AH29</f>
        <v>6</v>
      </c>
      <c r="AE29" s="26">
        <f t="shared" si="16"/>
        <v>1456726</v>
      </c>
      <c r="AF29" s="26">
        <f t="shared" si="16"/>
        <v>6</v>
      </c>
      <c r="AG29" s="26">
        <f t="shared" si="16"/>
        <v>0</v>
      </c>
      <c r="AH29" s="26">
        <f t="shared" si="16"/>
        <v>0</v>
      </c>
      <c r="AI29" s="26">
        <f t="shared" si="16"/>
        <v>161858.44444444447</v>
      </c>
      <c r="AJ29" s="26">
        <f t="shared" si="16"/>
        <v>7</v>
      </c>
      <c r="AK29" s="26">
        <f t="shared" si="16"/>
        <v>2</v>
      </c>
      <c r="AL29" s="26">
        <f t="shared" si="16"/>
        <v>770643</v>
      </c>
      <c r="AM29" s="26">
        <f t="shared" si="16"/>
        <v>2</v>
      </c>
      <c r="AN29" s="26">
        <f t="shared" si="16"/>
        <v>-537635</v>
      </c>
      <c r="AO29" s="26">
        <f t="shared" si="16"/>
        <v>0</v>
      </c>
      <c r="AP29" s="26">
        <f t="shared" si="16"/>
        <v>552623</v>
      </c>
      <c r="AQ29" s="26">
        <f t="shared" si="16"/>
        <v>0</v>
      </c>
      <c r="AR29" s="26">
        <f t="shared" si="16"/>
        <v>1308278</v>
      </c>
      <c r="AS29" s="26">
        <f t="shared" si="16"/>
        <v>4</v>
      </c>
      <c r="AT29" s="26">
        <f t="shared" si="16"/>
        <v>1308278</v>
      </c>
      <c r="AU29" s="26">
        <f t="shared" si="16"/>
        <v>4</v>
      </c>
      <c r="AV29" s="26">
        <f t="shared" si="16"/>
        <v>0</v>
      </c>
      <c r="AW29" s="26">
        <f t="shared" si="16"/>
        <v>0</v>
      </c>
      <c r="AX29" s="26">
        <f t="shared" si="16"/>
        <v>145364.22222222222</v>
      </c>
      <c r="AY29" s="26">
        <f t="shared" si="16"/>
        <v>2</v>
      </c>
      <c r="AZ29" s="26">
        <f t="shared" si="16"/>
        <v>0</v>
      </c>
      <c r="BA29" s="26">
        <v>0</v>
      </c>
      <c r="BB29" s="26">
        <v>0</v>
      </c>
      <c r="BC29" s="26">
        <f t="shared" si="16"/>
        <v>0</v>
      </c>
      <c r="BD29" s="26">
        <f t="shared" si="16"/>
        <v>0</v>
      </c>
      <c r="BE29" s="26">
        <f t="shared" si="16"/>
        <v>0</v>
      </c>
      <c r="BF29" s="26">
        <f t="shared" si="16"/>
        <v>0</v>
      </c>
      <c r="BG29" s="26">
        <f t="shared" si="16"/>
        <v>0</v>
      </c>
      <c r="BH29" s="26">
        <f t="shared" si="16"/>
        <v>0</v>
      </c>
      <c r="BI29" s="26">
        <f t="shared" si="16"/>
        <v>0</v>
      </c>
      <c r="BJ29" s="26">
        <f t="shared" si="16"/>
        <v>0</v>
      </c>
      <c r="BK29" s="26">
        <f t="shared" si="16"/>
        <v>0</v>
      </c>
      <c r="BL29" s="26">
        <f t="shared" si="16"/>
        <v>0</v>
      </c>
      <c r="BM29" s="26">
        <f t="shared" si="16"/>
        <v>0</v>
      </c>
      <c r="BN29" s="26"/>
      <c r="BO29" s="26"/>
      <c r="BP29" s="26"/>
      <c r="BQ29" s="26"/>
      <c r="BR29" s="26"/>
      <c r="BS29" s="26"/>
      <c r="BT29" s="58"/>
    </row>
    <row r="30" spans="1:72" ht="17.25" customHeight="1" outlineLevel="1" x14ac:dyDescent="0.25">
      <c r="A30" s="106"/>
      <c r="B30" s="107"/>
      <c r="C30" s="11" t="s">
        <v>198</v>
      </c>
      <c r="D30" s="104"/>
      <c r="E30" s="104"/>
      <c r="F30" s="104">
        <f>SUM(F31:F39)</f>
        <v>4873821</v>
      </c>
      <c r="G30" s="104">
        <f>SUM(G31:G39)</f>
        <v>4739948.0479999995</v>
      </c>
      <c r="H30" s="104">
        <f>H31+H32+H33+H34+H35+H36</f>
        <v>3107254</v>
      </c>
      <c r="I30" s="104">
        <f>I31+I32+I33+I34+I35+I36</f>
        <v>230799</v>
      </c>
      <c r="J30" s="104"/>
      <c r="K30" s="104"/>
      <c r="L30" s="104"/>
      <c r="M30" s="104">
        <f>SUM(M31:M39)</f>
        <v>1519007</v>
      </c>
      <c r="N30" s="104">
        <f>SUM(N31:N39)</f>
        <v>1618584.4444444445</v>
      </c>
      <c r="O30" s="104">
        <v>2972174</v>
      </c>
      <c r="P30" s="104">
        <v>11</v>
      </c>
      <c r="Q30" s="26">
        <v>2319349</v>
      </c>
      <c r="R30" s="104">
        <v>9</v>
      </c>
      <c r="S30" s="26">
        <f t="shared" ref="S30:AI30" si="18">SUM(S31:S39)</f>
        <v>862623</v>
      </c>
      <c r="T30" s="26">
        <f t="shared" si="18"/>
        <v>0</v>
      </c>
      <c r="U30" s="26">
        <f t="shared" ref="U30:V30" si="19">SUM(U31:U39)</f>
        <v>2009349</v>
      </c>
      <c r="V30" s="67">
        <f t="shared" si="19"/>
        <v>9</v>
      </c>
      <c r="W30" s="67">
        <f t="shared" ref="W30:AC30" si="20">SUM(W31:W39)</f>
        <v>1410154</v>
      </c>
      <c r="X30" s="67">
        <f t="shared" si="20"/>
        <v>6</v>
      </c>
      <c r="Y30" s="67">
        <f t="shared" si="20"/>
        <v>599195</v>
      </c>
      <c r="Z30" s="67">
        <f t="shared" si="20"/>
        <v>3</v>
      </c>
      <c r="AA30" s="67">
        <f t="shared" si="20"/>
        <v>-599195</v>
      </c>
      <c r="AB30" s="67">
        <f t="shared" ref="AB30" si="21">SUM(AB31:AB39)</f>
        <v>46572</v>
      </c>
      <c r="AC30" s="26">
        <f t="shared" si="20"/>
        <v>1456726</v>
      </c>
      <c r="AD30" s="104">
        <f t="shared" si="18"/>
        <v>6</v>
      </c>
      <c r="AE30" s="104">
        <f t="shared" si="18"/>
        <v>1456726</v>
      </c>
      <c r="AF30" s="104">
        <f t="shared" si="18"/>
        <v>6</v>
      </c>
      <c r="AG30" s="104">
        <f t="shared" si="18"/>
        <v>0</v>
      </c>
      <c r="AH30" s="104">
        <f t="shared" si="18"/>
        <v>0</v>
      </c>
      <c r="AI30" s="104">
        <f t="shared" si="18"/>
        <v>161858.44444444447</v>
      </c>
      <c r="AJ30" s="113">
        <f t="shared" ref="AJ30:AQ30" si="22">SUM(AJ31:AJ39)</f>
        <v>7</v>
      </c>
      <c r="AK30" s="113">
        <f t="shared" si="22"/>
        <v>2</v>
      </c>
      <c r="AL30" s="113">
        <f t="shared" si="22"/>
        <v>770643</v>
      </c>
      <c r="AM30" s="113">
        <f t="shared" si="22"/>
        <v>2</v>
      </c>
      <c r="AN30" s="113">
        <f t="shared" si="22"/>
        <v>-537635</v>
      </c>
      <c r="AO30" s="113">
        <f t="shared" si="22"/>
        <v>0</v>
      </c>
      <c r="AP30" s="113">
        <f t="shared" si="22"/>
        <v>552623</v>
      </c>
      <c r="AQ30" s="113">
        <f t="shared" si="22"/>
        <v>0</v>
      </c>
      <c r="AR30" s="26">
        <f t="shared" ref="AR30:AZ30" si="23">SUM(AR31:AR39)</f>
        <v>1308278</v>
      </c>
      <c r="AS30" s="104">
        <f t="shared" si="23"/>
        <v>4</v>
      </c>
      <c r="AT30" s="104">
        <f t="shared" si="23"/>
        <v>1308278</v>
      </c>
      <c r="AU30" s="104">
        <f t="shared" si="23"/>
        <v>4</v>
      </c>
      <c r="AV30" s="104">
        <f t="shared" si="23"/>
        <v>0</v>
      </c>
      <c r="AW30" s="104">
        <f t="shared" si="23"/>
        <v>0</v>
      </c>
      <c r="AX30" s="104">
        <f t="shared" si="23"/>
        <v>145364.22222222222</v>
      </c>
      <c r="AY30" s="104">
        <f t="shared" si="23"/>
        <v>2</v>
      </c>
      <c r="AZ30" s="104">
        <f t="shared" si="23"/>
        <v>0</v>
      </c>
      <c r="BA30" s="104">
        <v>0</v>
      </c>
      <c r="BB30" s="104">
        <v>0</v>
      </c>
      <c r="BC30" s="26">
        <f t="shared" ref="BC30:BM30" si="24">SUM(BC31:BC39)</f>
        <v>0</v>
      </c>
      <c r="BD30" s="26">
        <f t="shared" si="24"/>
        <v>0</v>
      </c>
      <c r="BE30" s="26">
        <f t="shared" si="24"/>
        <v>0</v>
      </c>
      <c r="BF30" s="104">
        <f t="shared" si="24"/>
        <v>0</v>
      </c>
      <c r="BG30" s="104">
        <f t="shared" si="24"/>
        <v>0</v>
      </c>
      <c r="BH30" s="104">
        <f t="shared" si="24"/>
        <v>0</v>
      </c>
      <c r="BI30" s="104">
        <f t="shared" si="24"/>
        <v>0</v>
      </c>
      <c r="BJ30" s="104">
        <f t="shared" si="24"/>
        <v>0</v>
      </c>
      <c r="BK30" s="104">
        <f t="shared" si="24"/>
        <v>0</v>
      </c>
      <c r="BL30" s="104">
        <f t="shared" si="24"/>
        <v>0</v>
      </c>
      <c r="BM30" s="104">
        <f t="shared" si="24"/>
        <v>0</v>
      </c>
      <c r="BN30" s="104"/>
      <c r="BO30" s="104"/>
      <c r="BP30" s="104"/>
      <c r="BQ30" s="104"/>
      <c r="BR30" s="104"/>
      <c r="BS30" s="104"/>
      <c r="BT30" s="55"/>
    </row>
    <row r="31" spans="1:72" ht="52.5" customHeight="1" outlineLevel="1" x14ac:dyDescent="0.25">
      <c r="A31" s="106"/>
      <c r="B31" s="59">
        <v>1</v>
      </c>
      <c r="C31" s="104" t="s">
        <v>199</v>
      </c>
      <c r="D31" s="104" t="s">
        <v>200</v>
      </c>
      <c r="E31" s="104" t="s">
        <v>9</v>
      </c>
      <c r="F31" s="104">
        <v>774356</v>
      </c>
      <c r="G31" s="104">
        <v>766377</v>
      </c>
      <c r="H31" s="104">
        <v>719520</v>
      </c>
      <c r="I31" s="104">
        <f>G31-H31</f>
        <v>46857</v>
      </c>
      <c r="J31" s="104">
        <v>1</v>
      </c>
      <c r="K31" s="104">
        <v>1</v>
      </c>
      <c r="L31" s="104"/>
      <c r="M31" s="104">
        <v>511111</v>
      </c>
      <c r="N31" s="104">
        <f>AC31+AI31</f>
        <v>208410</v>
      </c>
      <c r="O31" s="104">
        <v>339739</v>
      </c>
      <c r="P31" s="104">
        <v>1</v>
      </c>
      <c r="Q31" s="100">
        <v>339739</v>
      </c>
      <c r="R31" s="104">
        <v>1</v>
      </c>
      <c r="S31" s="104">
        <f>Q31-AC31</f>
        <v>152170</v>
      </c>
      <c r="T31" s="104"/>
      <c r="U31" s="26">
        <f>W31+Y31</f>
        <v>140997</v>
      </c>
      <c r="V31" s="113">
        <f t="shared" ref="V31:V39" si="25">X31+Z31</f>
        <v>1</v>
      </c>
      <c r="W31" s="113">
        <v>140997</v>
      </c>
      <c r="X31" s="113">
        <f>IF(W31,1,0)</f>
        <v>1</v>
      </c>
      <c r="Y31" s="113"/>
      <c r="Z31" s="113">
        <f>IF(Y31,1,0)</f>
        <v>0</v>
      </c>
      <c r="AA31" s="113"/>
      <c r="AB31" s="122">
        <v>46572</v>
      </c>
      <c r="AC31" s="26">
        <f>AE31+AG31</f>
        <v>187569</v>
      </c>
      <c r="AD31" s="104">
        <f t="shared" si="17"/>
        <v>1</v>
      </c>
      <c r="AE31" s="104">
        <f>140997+46572</f>
        <v>187569</v>
      </c>
      <c r="AF31" s="104">
        <f>IF(AE31,1,0)</f>
        <v>1</v>
      </c>
      <c r="AG31" s="104"/>
      <c r="AH31" s="104">
        <f>IF(AG31,1,0)</f>
        <v>0</v>
      </c>
      <c r="AI31" s="104">
        <f>AC31/0.9*0.1</f>
        <v>20841</v>
      </c>
      <c r="AJ31" s="104">
        <v>1</v>
      </c>
      <c r="AK31" s="104"/>
      <c r="AL31" s="104">
        <v>0</v>
      </c>
      <c r="AM31" s="104">
        <v>0</v>
      </c>
      <c r="AN31" s="104">
        <f>AL31-AR31</f>
        <v>0</v>
      </c>
      <c r="AO31" s="104"/>
      <c r="AP31" s="113">
        <f>U31-AC31</f>
        <v>-46572</v>
      </c>
      <c r="AQ31" s="113"/>
      <c r="AR31" s="34">
        <f>AT31+AV31</f>
        <v>0</v>
      </c>
      <c r="AS31" s="10">
        <f>AU31+AW31</f>
        <v>0</v>
      </c>
      <c r="AT31" s="10"/>
      <c r="AU31" s="10">
        <f>IF(AT31,1,0)</f>
        <v>0</v>
      </c>
      <c r="AV31" s="10"/>
      <c r="AW31" s="10">
        <f>IF(AV31,1,0)</f>
        <v>0</v>
      </c>
      <c r="AX31" s="10">
        <f>AR31/0.9*0.1</f>
        <v>0</v>
      </c>
      <c r="AY31" s="10"/>
      <c r="AZ31" s="10"/>
      <c r="BA31" s="10">
        <v>0</v>
      </c>
      <c r="BB31" s="10">
        <v>0</v>
      </c>
      <c r="BC31" s="10">
        <f>BA31-BE31</f>
        <v>0</v>
      </c>
      <c r="BD31" s="10"/>
      <c r="BE31" s="26">
        <f>BG31+BI31</f>
        <v>0</v>
      </c>
      <c r="BF31" s="104">
        <f>BH31+BJ31</f>
        <v>0</v>
      </c>
      <c r="BG31" s="104"/>
      <c r="BH31" s="104">
        <f>IF(BG31,1,0)</f>
        <v>0</v>
      </c>
      <c r="BI31" s="104"/>
      <c r="BJ31" s="104">
        <f>IF(BI31,1,0)</f>
        <v>0</v>
      </c>
      <c r="BK31" s="104"/>
      <c r="BL31" s="104"/>
      <c r="BM31" s="104"/>
      <c r="BN31" s="104" t="s">
        <v>201</v>
      </c>
      <c r="BO31" s="104" t="s">
        <v>202</v>
      </c>
      <c r="BP31" s="104" t="s">
        <v>203</v>
      </c>
      <c r="BQ31" s="104" t="s">
        <v>204</v>
      </c>
      <c r="BR31" s="104" t="s">
        <v>205</v>
      </c>
      <c r="BS31" s="104" t="s">
        <v>206</v>
      </c>
      <c r="BT31" s="55" t="s">
        <v>831</v>
      </c>
    </row>
    <row r="32" spans="1:72" ht="62.25" customHeight="1" outlineLevel="1" x14ac:dyDescent="0.25">
      <c r="A32" s="106"/>
      <c r="B32" s="59">
        <v>2</v>
      </c>
      <c r="C32" s="104" t="s">
        <v>208</v>
      </c>
      <c r="D32" s="104" t="s">
        <v>1167</v>
      </c>
      <c r="E32" s="104" t="s">
        <v>9</v>
      </c>
      <c r="F32" s="104">
        <v>294922</v>
      </c>
      <c r="G32" s="104">
        <v>280515</v>
      </c>
      <c r="H32" s="104">
        <v>234628</v>
      </c>
      <c r="I32" s="104">
        <f t="shared" ref="I32:I36" si="26">G32-H32</f>
        <v>45887</v>
      </c>
      <c r="J32" s="104">
        <v>1</v>
      </c>
      <c r="K32" s="104">
        <v>1</v>
      </c>
      <c r="L32" s="104"/>
      <c r="M32" s="104">
        <v>78823</v>
      </c>
      <c r="N32" s="104">
        <f t="shared" ref="N32:N39" si="27">AC32+AI32</f>
        <v>186143.33333333334</v>
      </c>
      <c r="O32" s="104">
        <v>181522</v>
      </c>
      <c r="P32" s="104">
        <v>1</v>
      </c>
      <c r="Q32" s="100">
        <v>181522</v>
      </c>
      <c r="R32" s="104">
        <v>1</v>
      </c>
      <c r="S32" s="104">
        <f t="shared" ref="S32:S95" si="28">Q32-AC32</f>
        <v>13993</v>
      </c>
      <c r="T32" s="104"/>
      <c r="U32" s="26">
        <f t="shared" ref="U32:U39" si="29">W32+Y32</f>
        <v>167529</v>
      </c>
      <c r="V32" s="113">
        <f t="shared" si="25"/>
        <v>1</v>
      </c>
      <c r="W32" s="113">
        <v>167529</v>
      </c>
      <c r="X32" s="113">
        <f t="shared" ref="X32:X39" si="30">IF(W32,1,0)</f>
        <v>1</v>
      </c>
      <c r="Y32" s="113"/>
      <c r="Z32" s="113">
        <f t="shared" ref="Z32:Z39" si="31">IF(Y32,1,0)</f>
        <v>0</v>
      </c>
      <c r="AA32" s="118">
        <v>0</v>
      </c>
      <c r="AB32" s="122"/>
      <c r="AC32" s="26">
        <f t="shared" ref="AC32:AD90" si="32">AE32+AG32</f>
        <v>167529</v>
      </c>
      <c r="AD32" s="104">
        <f t="shared" si="17"/>
        <v>1</v>
      </c>
      <c r="AE32" s="104">
        <v>167529</v>
      </c>
      <c r="AF32" s="104">
        <f t="shared" ref="AF32:AF39" si="33">IF(AE32,1,0)</f>
        <v>1</v>
      </c>
      <c r="AG32" s="104"/>
      <c r="AH32" s="104">
        <f t="shared" ref="AH32:AH39" si="34">IF(AG32,1,0)</f>
        <v>0</v>
      </c>
      <c r="AI32" s="104">
        <f t="shared" ref="AI32:AI39" si="35">AC32/0.9*0.1</f>
        <v>18614.333333333336</v>
      </c>
      <c r="AJ32" s="104">
        <v>1</v>
      </c>
      <c r="AK32" s="104"/>
      <c r="AL32" s="104">
        <v>0</v>
      </c>
      <c r="AM32" s="104">
        <v>0</v>
      </c>
      <c r="AN32" s="104">
        <f t="shared" ref="AN32:AN95" si="36">AL32-AR32</f>
        <v>0</v>
      </c>
      <c r="AO32" s="104"/>
      <c r="AP32" s="113">
        <f t="shared" ref="AP32:AP39" si="37">U32-AC32</f>
        <v>0</v>
      </c>
      <c r="AQ32" s="113"/>
      <c r="AR32" s="34">
        <f t="shared" ref="AR32:AS90" si="38">AT32+AV32</f>
        <v>0</v>
      </c>
      <c r="AS32" s="10">
        <f t="shared" si="38"/>
        <v>0</v>
      </c>
      <c r="AT32" s="10"/>
      <c r="AU32" s="10">
        <f t="shared" ref="AU32:AU90" si="39">IF(AT32,1,0)</f>
        <v>0</v>
      </c>
      <c r="AV32" s="10"/>
      <c r="AW32" s="10">
        <f t="shared" ref="AW32:AW90" si="40">IF(AV32,1,0)</f>
        <v>0</v>
      </c>
      <c r="AX32" s="10">
        <f t="shared" ref="AX32:AX37" si="41">AR32/0.9*0.1</f>
        <v>0</v>
      </c>
      <c r="AY32" s="10"/>
      <c r="AZ32" s="10"/>
      <c r="BA32" s="10">
        <v>0</v>
      </c>
      <c r="BB32" s="10">
        <v>0</v>
      </c>
      <c r="BC32" s="10">
        <f t="shared" ref="BC32:BC95" si="42">BA32-BE32</f>
        <v>0</v>
      </c>
      <c r="BD32" s="10"/>
      <c r="BE32" s="26">
        <f t="shared" ref="BE32:BF86" si="43">BG32+BI32</f>
        <v>0</v>
      </c>
      <c r="BF32" s="104">
        <f t="shared" si="43"/>
        <v>0</v>
      </c>
      <c r="BG32" s="104"/>
      <c r="BH32" s="104">
        <f t="shared" ref="BH32:BH90" si="44">IF(BG32,1,0)</f>
        <v>0</v>
      </c>
      <c r="BI32" s="104"/>
      <c r="BJ32" s="104">
        <f t="shared" ref="BJ32:BJ90" si="45">IF(BI32,1,0)</f>
        <v>0</v>
      </c>
      <c r="BK32" s="104"/>
      <c r="BL32" s="104"/>
      <c r="BM32" s="104"/>
      <c r="BN32" s="104" t="s">
        <v>1166</v>
      </c>
      <c r="BO32" s="104" t="s">
        <v>1170</v>
      </c>
      <c r="BP32" s="104" t="s">
        <v>1260</v>
      </c>
      <c r="BQ32" s="104" t="s">
        <v>1168</v>
      </c>
      <c r="BR32" s="104" t="s">
        <v>1169</v>
      </c>
      <c r="BS32" s="104" t="s">
        <v>207</v>
      </c>
      <c r="BT32" s="55"/>
    </row>
    <row r="33" spans="1:77" ht="50.25" customHeight="1" outlineLevel="1" x14ac:dyDescent="0.25">
      <c r="A33" s="106"/>
      <c r="B33" s="59">
        <v>3</v>
      </c>
      <c r="C33" s="104" t="s">
        <v>1443</v>
      </c>
      <c r="D33" s="104" t="s">
        <v>1171</v>
      </c>
      <c r="E33" s="104" t="s">
        <v>9</v>
      </c>
      <c r="F33" s="104">
        <v>590259</v>
      </c>
      <c r="G33" s="104">
        <v>549266</v>
      </c>
      <c r="H33" s="104">
        <v>519028</v>
      </c>
      <c r="I33" s="104">
        <f t="shared" si="26"/>
        <v>30238</v>
      </c>
      <c r="J33" s="104">
        <v>1</v>
      </c>
      <c r="K33" s="104">
        <v>1</v>
      </c>
      <c r="L33" s="104"/>
      <c r="M33" s="104">
        <v>243613</v>
      </c>
      <c r="N33" s="104">
        <f t="shared" si="27"/>
        <v>275413.33333333331</v>
      </c>
      <c r="O33" s="104">
        <v>275087</v>
      </c>
      <c r="P33" s="104">
        <v>1</v>
      </c>
      <c r="Q33" s="100">
        <v>275087</v>
      </c>
      <c r="R33" s="104">
        <v>1</v>
      </c>
      <c r="S33" s="104">
        <f t="shared" si="28"/>
        <v>27215</v>
      </c>
      <c r="T33" s="104"/>
      <c r="U33" s="26">
        <f t="shared" si="29"/>
        <v>247872</v>
      </c>
      <c r="V33" s="113">
        <f t="shared" si="25"/>
        <v>1</v>
      </c>
      <c r="W33" s="113">
        <v>247872</v>
      </c>
      <c r="X33" s="113">
        <f t="shared" si="30"/>
        <v>1</v>
      </c>
      <c r="Y33" s="113"/>
      <c r="Z33" s="113">
        <f t="shared" si="31"/>
        <v>0</v>
      </c>
      <c r="AA33" s="118">
        <v>0</v>
      </c>
      <c r="AB33" s="122"/>
      <c r="AC33" s="26">
        <f t="shared" si="32"/>
        <v>247872</v>
      </c>
      <c r="AD33" s="104">
        <f t="shared" si="17"/>
        <v>1</v>
      </c>
      <c r="AE33" s="104">
        <v>247872</v>
      </c>
      <c r="AF33" s="104">
        <f t="shared" si="33"/>
        <v>1</v>
      </c>
      <c r="AG33" s="104"/>
      <c r="AH33" s="104">
        <f t="shared" si="34"/>
        <v>0</v>
      </c>
      <c r="AI33" s="104">
        <f t="shared" si="35"/>
        <v>27541.333333333332</v>
      </c>
      <c r="AJ33" s="104">
        <v>1</v>
      </c>
      <c r="AK33" s="104"/>
      <c r="AL33" s="104">
        <v>0</v>
      </c>
      <c r="AM33" s="104">
        <v>0</v>
      </c>
      <c r="AN33" s="104">
        <f t="shared" si="36"/>
        <v>0</v>
      </c>
      <c r="AO33" s="104"/>
      <c r="AP33" s="113">
        <f t="shared" si="37"/>
        <v>0</v>
      </c>
      <c r="AQ33" s="113"/>
      <c r="AR33" s="34">
        <f t="shared" si="38"/>
        <v>0</v>
      </c>
      <c r="AS33" s="10">
        <f t="shared" si="38"/>
        <v>0</v>
      </c>
      <c r="AT33" s="10"/>
      <c r="AU33" s="10">
        <f t="shared" si="39"/>
        <v>0</v>
      </c>
      <c r="AV33" s="10"/>
      <c r="AW33" s="10">
        <f t="shared" si="40"/>
        <v>0</v>
      </c>
      <c r="AX33" s="10">
        <f t="shared" si="41"/>
        <v>0</v>
      </c>
      <c r="AY33" s="10"/>
      <c r="AZ33" s="10"/>
      <c r="BA33" s="10">
        <v>0</v>
      </c>
      <c r="BB33" s="10">
        <v>0</v>
      </c>
      <c r="BC33" s="10">
        <f t="shared" si="42"/>
        <v>0</v>
      </c>
      <c r="BD33" s="10"/>
      <c r="BE33" s="26">
        <f t="shared" si="43"/>
        <v>0</v>
      </c>
      <c r="BF33" s="104">
        <f t="shared" si="43"/>
        <v>0</v>
      </c>
      <c r="BG33" s="104"/>
      <c r="BH33" s="104">
        <f t="shared" si="44"/>
        <v>0</v>
      </c>
      <c r="BI33" s="104"/>
      <c r="BJ33" s="104">
        <f t="shared" si="45"/>
        <v>0</v>
      </c>
      <c r="BK33" s="104"/>
      <c r="BL33" s="104"/>
      <c r="BM33" s="104"/>
      <c r="BN33" s="104" t="s">
        <v>1172</v>
      </c>
      <c r="BO33" s="104" t="s">
        <v>1262</v>
      </c>
      <c r="BP33" s="104" t="s">
        <v>1173</v>
      </c>
      <c r="BQ33" s="104" t="s">
        <v>1175</v>
      </c>
      <c r="BR33" s="104" t="s">
        <v>1174</v>
      </c>
      <c r="BS33" s="104" t="s">
        <v>1261</v>
      </c>
      <c r="BT33" s="55" t="s">
        <v>1176</v>
      </c>
    </row>
    <row r="34" spans="1:77" ht="71.25" customHeight="1" outlineLevel="1" x14ac:dyDescent="0.25">
      <c r="A34" s="106"/>
      <c r="B34" s="59">
        <v>4</v>
      </c>
      <c r="C34" s="41" t="s">
        <v>209</v>
      </c>
      <c r="D34" s="104" t="s">
        <v>210</v>
      </c>
      <c r="E34" s="104" t="s">
        <v>9</v>
      </c>
      <c r="F34" s="104">
        <v>448433</v>
      </c>
      <c r="G34" s="104">
        <v>440102</v>
      </c>
      <c r="H34" s="26">
        <v>412939</v>
      </c>
      <c r="I34" s="104">
        <f t="shared" si="26"/>
        <v>27163</v>
      </c>
      <c r="J34" s="104">
        <v>1</v>
      </c>
      <c r="K34" s="104">
        <v>1</v>
      </c>
      <c r="L34" s="104"/>
      <c r="M34" s="104">
        <v>111111</v>
      </c>
      <c r="N34" s="104">
        <f t="shared" si="27"/>
        <v>301827.77777777775</v>
      </c>
      <c r="O34" s="104">
        <v>296092</v>
      </c>
      <c r="P34" s="104">
        <v>1</v>
      </c>
      <c r="Q34" s="26">
        <v>296092</v>
      </c>
      <c r="R34" s="104">
        <v>1</v>
      </c>
      <c r="S34" s="104">
        <f t="shared" si="28"/>
        <v>24447</v>
      </c>
      <c r="T34" s="104"/>
      <c r="U34" s="26">
        <f t="shared" si="29"/>
        <v>271645</v>
      </c>
      <c r="V34" s="113">
        <f t="shared" si="25"/>
        <v>1</v>
      </c>
      <c r="W34" s="113">
        <v>271645</v>
      </c>
      <c r="X34" s="113">
        <f t="shared" si="30"/>
        <v>1</v>
      </c>
      <c r="Y34" s="113"/>
      <c r="Z34" s="113">
        <f t="shared" si="31"/>
        <v>0</v>
      </c>
      <c r="AA34" s="118">
        <v>0</v>
      </c>
      <c r="AB34" s="122"/>
      <c r="AC34" s="26">
        <f t="shared" si="32"/>
        <v>271645</v>
      </c>
      <c r="AD34" s="104">
        <f t="shared" si="17"/>
        <v>1</v>
      </c>
      <c r="AE34" s="104">
        <f>271645</f>
        <v>271645</v>
      </c>
      <c r="AF34" s="104">
        <f t="shared" si="33"/>
        <v>1</v>
      </c>
      <c r="AG34" s="104"/>
      <c r="AH34" s="104">
        <f t="shared" si="34"/>
        <v>0</v>
      </c>
      <c r="AI34" s="104">
        <f t="shared" si="35"/>
        <v>30182.777777777777</v>
      </c>
      <c r="AJ34" s="104">
        <v>1</v>
      </c>
      <c r="AK34" s="104"/>
      <c r="AL34" s="104">
        <v>0</v>
      </c>
      <c r="AM34" s="104">
        <v>0</v>
      </c>
      <c r="AN34" s="104">
        <f t="shared" si="36"/>
        <v>-46572</v>
      </c>
      <c r="AO34" s="104"/>
      <c r="AP34" s="113">
        <f t="shared" si="37"/>
        <v>0</v>
      </c>
      <c r="AQ34" s="113"/>
      <c r="AR34" s="34">
        <f t="shared" si="38"/>
        <v>46572</v>
      </c>
      <c r="AS34" s="10">
        <f t="shared" si="38"/>
        <v>1</v>
      </c>
      <c r="AT34" s="10">
        <f>46572</f>
        <v>46572</v>
      </c>
      <c r="AU34" s="10">
        <f t="shared" si="39"/>
        <v>1</v>
      </c>
      <c r="AV34" s="10"/>
      <c r="AW34" s="10">
        <f t="shared" si="40"/>
        <v>0</v>
      </c>
      <c r="AX34" s="10">
        <f t="shared" si="41"/>
        <v>5174.666666666667</v>
      </c>
      <c r="AY34" s="10"/>
      <c r="AZ34" s="10"/>
      <c r="BA34" s="10">
        <v>0</v>
      </c>
      <c r="BB34" s="10">
        <v>0</v>
      </c>
      <c r="BC34" s="10">
        <f t="shared" si="42"/>
        <v>0</v>
      </c>
      <c r="BD34" s="10"/>
      <c r="BE34" s="26">
        <f t="shared" si="43"/>
        <v>0</v>
      </c>
      <c r="BF34" s="104">
        <f t="shared" si="43"/>
        <v>0</v>
      </c>
      <c r="BG34" s="104"/>
      <c r="BH34" s="104">
        <f t="shared" si="44"/>
        <v>0</v>
      </c>
      <c r="BI34" s="104"/>
      <c r="BJ34" s="104">
        <f t="shared" si="45"/>
        <v>0</v>
      </c>
      <c r="BK34" s="104"/>
      <c r="BL34" s="104"/>
      <c r="BM34" s="104"/>
      <c r="BN34" s="104" t="s">
        <v>1177</v>
      </c>
      <c r="BO34" s="104" t="s">
        <v>1182</v>
      </c>
      <c r="BP34" s="104" t="s">
        <v>1178</v>
      </c>
      <c r="BQ34" s="104" t="s">
        <v>1179</v>
      </c>
      <c r="BR34" s="104" t="s">
        <v>1180</v>
      </c>
      <c r="BS34" s="104" t="s">
        <v>1181</v>
      </c>
      <c r="BT34" s="55" t="s">
        <v>832</v>
      </c>
    </row>
    <row r="35" spans="1:77" ht="72.75" customHeight="1" outlineLevel="1" x14ac:dyDescent="0.25">
      <c r="A35" s="106"/>
      <c r="B35" s="59">
        <v>5</v>
      </c>
      <c r="C35" s="41" t="s">
        <v>211</v>
      </c>
      <c r="D35" s="41" t="s">
        <v>1183</v>
      </c>
      <c r="E35" s="104" t="s">
        <v>9</v>
      </c>
      <c r="F35" s="104">
        <v>275959</v>
      </c>
      <c r="G35" s="104">
        <v>269940</v>
      </c>
      <c r="H35" s="26">
        <v>253318</v>
      </c>
      <c r="I35" s="104">
        <f t="shared" si="26"/>
        <v>16622</v>
      </c>
      <c r="J35" s="104">
        <v>1</v>
      </c>
      <c r="K35" s="104">
        <v>1</v>
      </c>
      <c r="L35" s="104"/>
      <c r="M35" s="104">
        <v>111111</v>
      </c>
      <c r="N35" s="104">
        <f t="shared" si="27"/>
        <v>142206.66666666666</v>
      </c>
      <c r="O35" s="104">
        <v>142945</v>
      </c>
      <c r="P35" s="104">
        <v>1</v>
      </c>
      <c r="Q35" s="26">
        <v>142945</v>
      </c>
      <c r="R35" s="104">
        <v>1</v>
      </c>
      <c r="S35" s="104">
        <f t="shared" si="28"/>
        <v>14959</v>
      </c>
      <c r="T35" s="104"/>
      <c r="U35" s="26">
        <f t="shared" si="29"/>
        <v>127986</v>
      </c>
      <c r="V35" s="113">
        <f t="shared" si="25"/>
        <v>1</v>
      </c>
      <c r="W35" s="113">
        <v>127986</v>
      </c>
      <c r="X35" s="113">
        <f t="shared" si="30"/>
        <v>1</v>
      </c>
      <c r="Y35" s="113"/>
      <c r="Z35" s="113">
        <f t="shared" si="31"/>
        <v>0</v>
      </c>
      <c r="AA35" s="118">
        <v>0</v>
      </c>
      <c r="AB35" s="122"/>
      <c r="AC35" s="26">
        <f t="shared" si="32"/>
        <v>127986</v>
      </c>
      <c r="AD35" s="104">
        <f t="shared" si="17"/>
        <v>1</v>
      </c>
      <c r="AE35" s="104">
        <v>127986</v>
      </c>
      <c r="AF35" s="104">
        <f t="shared" si="33"/>
        <v>1</v>
      </c>
      <c r="AG35" s="104"/>
      <c r="AH35" s="104">
        <f t="shared" si="34"/>
        <v>0</v>
      </c>
      <c r="AI35" s="104">
        <f t="shared" si="35"/>
        <v>14220.666666666666</v>
      </c>
      <c r="AJ35" s="104">
        <v>1</v>
      </c>
      <c r="AK35" s="104"/>
      <c r="AL35" s="104">
        <v>0</v>
      </c>
      <c r="AM35" s="104">
        <v>0</v>
      </c>
      <c r="AN35" s="104">
        <f t="shared" si="36"/>
        <v>0</v>
      </c>
      <c r="AO35" s="104"/>
      <c r="AP35" s="113">
        <f t="shared" si="37"/>
        <v>0</v>
      </c>
      <c r="AQ35" s="113"/>
      <c r="AR35" s="34">
        <f t="shared" si="38"/>
        <v>0</v>
      </c>
      <c r="AS35" s="10">
        <f t="shared" si="38"/>
        <v>0</v>
      </c>
      <c r="AT35" s="10"/>
      <c r="AU35" s="10">
        <f t="shared" si="39"/>
        <v>0</v>
      </c>
      <c r="AV35" s="10"/>
      <c r="AW35" s="10">
        <f t="shared" si="40"/>
        <v>0</v>
      </c>
      <c r="AX35" s="10">
        <f t="shared" si="41"/>
        <v>0</v>
      </c>
      <c r="AY35" s="10"/>
      <c r="AZ35" s="10"/>
      <c r="BA35" s="10">
        <v>0</v>
      </c>
      <c r="BB35" s="10">
        <v>0</v>
      </c>
      <c r="BC35" s="10">
        <f t="shared" si="42"/>
        <v>0</v>
      </c>
      <c r="BD35" s="10"/>
      <c r="BE35" s="26">
        <f t="shared" si="43"/>
        <v>0</v>
      </c>
      <c r="BF35" s="104">
        <f t="shared" si="43"/>
        <v>0</v>
      </c>
      <c r="BG35" s="104"/>
      <c r="BH35" s="104">
        <f t="shared" si="44"/>
        <v>0</v>
      </c>
      <c r="BI35" s="104"/>
      <c r="BJ35" s="104">
        <f t="shared" si="45"/>
        <v>0</v>
      </c>
      <c r="BK35" s="104"/>
      <c r="BL35" s="104"/>
      <c r="BM35" s="104"/>
      <c r="BN35" s="104" t="s">
        <v>1184</v>
      </c>
      <c r="BO35" s="104" t="s">
        <v>1263</v>
      </c>
      <c r="BP35" s="104" t="s">
        <v>1185</v>
      </c>
      <c r="BQ35" s="104" t="s">
        <v>1186</v>
      </c>
      <c r="BR35" s="104" t="s">
        <v>1549</v>
      </c>
      <c r="BS35" s="104" t="s">
        <v>1187</v>
      </c>
      <c r="BT35" s="55" t="s">
        <v>833</v>
      </c>
    </row>
    <row r="36" spans="1:77" ht="57.75" customHeight="1" outlineLevel="1" x14ac:dyDescent="0.25">
      <c r="A36" s="106"/>
      <c r="B36" s="59">
        <v>6</v>
      </c>
      <c r="C36" s="41" t="s">
        <v>212</v>
      </c>
      <c r="D36" s="104" t="s">
        <v>213</v>
      </c>
      <c r="E36" s="104" t="s">
        <v>9</v>
      </c>
      <c r="F36" s="104">
        <v>1046882</v>
      </c>
      <c r="G36" s="104">
        <v>1031853</v>
      </c>
      <c r="H36" s="26">
        <v>967821</v>
      </c>
      <c r="I36" s="104">
        <f t="shared" si="26"/>
        <v>64032</v>
      </c>
      <c r="J36" s="104">
        <v>1</v>
      </c>
      <c r="K36" s="104">
        <v>1</v>
      </c>
      <c r="L36" s="104"/>
      <c r="M36" s="104">
        <v>463238</v>
      </c>
      <c r="N36" s="104">
        <f t="shared" si="27"/>
        <v>504583.33333333331</v>
      </c>
      <c r="O36" s="104">
        <v>592902</v>
      </c>
      <c r="P36" s="104">
        <v>1</v>
      </c>
      <c r="Q36" s="26">
        <v>592902</v>
      </c>
      <c r="R36" s="104">
        <v>1</v>
      </c>
      <c r="S36" s="104">
        <f t="shared" si="28"/>
        <v>138777</v>
      </c>
      <c r="T36" s="104"/>
      <c r="U36" s="26">
        <f t="shared" si="29"/>
        <v>454125</v>
      </c>
      <c r="V36" s="113">
        <f t="shared" si="25"/>
        <v>1</v>
      </c>
      <c r="W36" s="113">
        <v>454125</v>
      </c>
      <c r="X36" s="113">
        <f t="shared" si="30"/>
        <v>1</v>
      </c>
      <c r="Y36" s="113"/>
      <c r="Z36" s="113">
        <f t="shared" si="31"/>
        <v>0</v>
      </c>
      <c r="AA36" s="118">
        <v>0</v>
      </c>
      <c r="AB36" s="122"/>
      <c r="AC36" s="26">
        <f t="shared" si="32"/>
        <v>454125</v>
      </c>
      <c r="AD36" s="104">
        <f t="shared" si="17"/>
        <v>1</v>
      </c>
      <c r="AE36" s="104">
        <v>454125</v>
      </c>
      <c r="AF36" s="104">
        <f t="shared" si="33"/>
        <v>1</v>
      </c>
      <c r="AG36" s="104"/>
      <c r="AH36" s="104">
        <f t="shared" si="34"/>
        <v>0</v>
      </c>
      <c r="AI36" s="104">
        <f t="shared" si="35"/>
        <v>50458.333333333336</v>
      </c>
      <c r="AJ36" s="104">
        <v>1</v>
      </c>
      <c r="AK36" s="104"/>
      <c r="AL36" s="104">
        <v>0</v>
      </c>
      <c r="AM36" s="104">
        <v>0</v>
      </c>
      <c r="AN36" s="104">
        <f t="shared" si="36"/>
        <v>0</v>
      </c>
      <c r="AO36" s="104"/>
      <c r="AP36" s="113">
        <f t="shared" si="37"/>
        <v>0</v>
      </c>
      <c r="AQ36" s="113"/>
      <c r="AR36" s="34">
        <f t="shared" si="38"/>
        <v>0</v>
      </c>
      <c r="AS36" s="10">
        <f t="shared" si="38"/>
        <v>0</v>
      </c>
      <c r="AT36" s="10"/>
      <c r="AU36" s="10">
        <f t="shared" si="39"/>
        <v>0</v>
      </c>
      <c r="AV36" s="10"/>
      <c r="AW36" s="10">
        <f t="shared" si="40"/>
        <v>0</v>
      </c>
      <c r="AX36" s="10">
        <f t="shared" si="41"/>
        <v>0</v>
      </c>
      <c r="AY36" s="10"/>
      <c r="AZ36" s="10"/>
      <c r="BA36" s="10">
        <v>0</v>
      </c>
      <c r="BB36" s="10">
        <v>0</v>
      </c>
      <c r="BC36" s="10">
        <f t="shared" si="42"/>
        <v>0</v>
      </c>
      <c r="BD36" s="10"/>
      <c r="BE36" s="26">
        <f t="shared" si="43"/>
        <v>0</v>
      </c>
      <c r="BF36" s="104">
        <f t="shared" si="43"/>
        <v>0</v>
      </c>
      <c r="BG36" s="104"/>
      <c r="BH36" s="104">
        <f t="shared" si="44"/>
        <v>0</v>
      </c>
      <c r="BI36" s="104"/>
      <c r="BJ36" s="104">
        <f t="shared" si="45"/>
        <v>0</v>
      </c>
      <c r="BK36" s="104"/>
      <c r="BL36" s="104"/>
      <c r="BM36" s="104"/>
      <c r="BN36" s="104" t="s">
        <v>214</v>
      </c>
      <c r="BO36" s="104" t="s">
        <v>215</v>
      </c>
      <c r="BP36" s="104" t="s">
        <v>216</v>
      </c>
      <c r="BQ36" s="104" t="s">
        <v>217</v>
      </c>
      <c r="BR36" s="104" t="s">
        <v>218</v>
      </c>
      <c r="BS36" s="104" t="s">
        <v>219</v>
      </c>
      <c r="BT36" s="55" t="s">
        <v>834</v>
      </c>
    </row>
    <row r="37" spans="1:77" ht="42.75" customHeight="1" outlineLevel="1" x14ac:dyDescent="0.25">
      <c r="A37" s="106"/>
      <c r="B37" s="59">
        <v>7</v>
      </c>
      <c r="C37" s="104" t="s">
        <v>169</v>
      </c>
      <c r="D37" s="104" t="s">
        <v>191</v>
      </c>
      <c r="E37" s="104">
        <v>2015</v>
      </c>
      <c r="F37" s="104">
        <v>187747</v>
      </c>
      <c r="G37" s="104">
        <v>178958.31700000001</v>
      </c>
      <c r="H37" s="104"/>
      <c r="I37" s="104"/>
      <c r="J37" s="104"/>
      <c r="K37" s="104">
        <v>1</v>
      </c>
      <c r="L37" s="104"/>
      <c r="M37" s="104">
        <v>0</v>
      </c>
      <c r="N37" s="104">
        <f t="shared" si="27"/>
        <v>0</v>
      </c>
      <c r="O37" s="104">
        <v>161062</v>
      </c>
      <c r="P37" s="104">
        <v>1</v>
      </c>
      <c r="Q37" s="26">
        <v>161062</v>
      </c>
      <c r="R37" s="104">
        <v>1</v>
      </c>
      <c r="S37" s="104">
        <f t="shared" si="28"/>
        <v>161062</v>
      </c>
      <c r="T37" s="104"/>
      <c r="U37" s="26">
        <f t="shared" si="29"/>
        <v>161062</v>
      </c>
      <c r="V37" s="113">
        <f t="shared" si="25"/>
        <v>1</v>
      </c>
      <c r="W37" s="113"/>
      <c r="X37" s="113">
        <f t="shared" si="30"/>
        <v>0</v>
      </c>
      <c r="Y37" s="113">
        <v>161062</v>
      </c>
      <c r="Z37" s="113">
        <f t="shared" si="31"/>
        <v>1</v>
      </c>
      <c r="AA37" s="118">
        <v>-161062</v>
      </c>
      <c r="AB37" s="122"/>
      <c r="AC37" s="26">
        <f t="shared" si="32"/>
        <v>0</v>
      </c>
      <c r="AD37" s="104">
        <f t="shared" si="17"/>
        <v>0</v>
      </c>
      <c r="AE37" s="104"/>
      <c r="AF37" s="104">
        <f t="shared" si="33"/>
        <v>0</v>
      </c>
      <c r="AG37" s="104"/>
      <c r="AH37" s="104">
        <f t="shared" si="34"/>
        <v>0</v>
      </c>
      <c r="AI37" s="104">
        <f t="shared" si="35"/>
        <v>0</v>
      </c>
      <c r="AJ37" s="104">
        <v>1</v>
      </c>
      <c r="AK37" s="104"/>
      <c r="AL37" s="104">
        <v>0</v>
      </c>
      <c r="AM37" s="104">
        <v>0</v>
      </c>
      <c r="AN37" s="104">
        <f t="shared" si="36"/>
        <v>-161062</v>
      </c>
      <c r="AO37" s="104"/>
      <c r="AP37" s="113">
        <f t="shared" si="37"/>
        <v>161062</v>
      </c>
      <c r="AQ37" s="113"/>
      <c r="AR37" s="34">
        <f t="shared" si="38"/>
        <v>161062</v>
      </c>
      <c r="AS37" s="10">
        <f t="shared" si="38"/>
        <v>1</v>
      </c>
      <c r="AT37" s="10">
        <v>161062</v>
      </c>
      <c r="AU37" s="10">
        <f t="shared" si="39"/>
        <v>1</v>
      </c>
      <c r="AV37" s="10"/>
      <c r="AW37" s="10">
        <f t="shared" si="40"/>
        <v>0</v>
      </c>
      <c r="AX37" s="10">
        <f t="shared" si="41"/>
        <v>17895.777777777777</v>
      </c>
      <c r="AY37" s="10"/>
      <c r="AZ37" s="10"/>
      <c r="BA37" s="10">
        <v>0</v>
      </c>
      <c r="BB37" s="10">
        <v>0</v>
      </c>
      <c r="BC37" s="10">
        <f t="shared" si="42"/>
        <v>0</v>
      </c>
      <c r="BD37" s="10"/>
      <c r="BE37" s="26">
        <f t="shared" si="43"/>
        <v>0</v>
      </c>
      <c r="BF37" s="104">
        <f t="shared" si="43"/>
        <v>0</v>
      </c>
      <c r="BG37" s="104"/>
      <c r="BH37" s="104">
        <f t="shared" si="44"/>
        <v>0</v>
      </c>
      <c r="BI37" s="104"/>
      <c r="BJ37" s="104">
        <f t="shared" si="45"/>
        <v>0</v>
      </c>
      <c r="BK37" s="104"/>
      <c r="BL37" s="104"/>
      <c r="BM37" s="104"/>
      <c r="BN37" s="104" t="s">
        <v>170</v>
      </c>
      <c r="BO37" s="104" t="s">
        <v>171</v>
      </c>
      <c r="BP37" s="104" t="s">
        <v>172</v>
      </c>
      <c r="BQ37" s="104" t="s">
        <v>173</v>
      </c>
      <c r="BR37" s="104" t="s">
        <v>174</v>
      </c>
      <c r="BS37" s="104" t="s">
        <v>175</v>
      </c>
      <c r="BT37" s="55" t="s">
        <v>176</v>
      </c>
    </row>
    <row r="38" spans="1:77" ht="62.25" customHeight="1" outlineLevel="1" x14ac:dyDescent="0.25">
      <c r="A38" s="106"/>
      <c r="B38" s="59">
        <v>8</v>
      </c>
      <c r="C38" s="67" t="s">
        <v>177</v>
      </c>
      <c r="D38" s="104" t="s">
        <v>194</v>
      </c>
      <c r="E38" s="104" t="s">
        <v>10</v>
      </c>
      <c r="F38" s="104">
        <v>590786</v>
      </c>
      <c r="G38" s="104">
        <v>579021.02099999995</v>
      </c>
      <c r="H38" s="104"/>
      <c r="I38" s="104"/>
      <c r="J38" s="104"/>
      <c r="K38" s="104"/>
      <c r="L38" s="104"/>
      <c r="M38" s="104">
        <v>0</v>
      </c>
      <c r="N38" s="104">
        <f t="shared" si="27"/>
        <v>0</v>
      </c>
      <c r="O38" s="104">
        <v>260559</v>
      </c>
      <c r="P38" s="104">
        <v>1</v>
      </c>
      <c r="Q38" s="26">
        <v>250000</v>
      </c>
      <c r="R38" s="104">
        <v>1</v>
      </c>
      <c r="S38" s="104">
        <f t="shared" si="28"/>
        <v>250000</v>
      </c>
      <c r="T38" s="104"/>
      <c r="U38" s="26">
        <f t="shared" si="29"/>
        <v>295439</v>
      </c>
      <c r="V38" s="113">
        <f t="shared" si="25"/>
        <v>1</v>
      </c>
      <c r="W38" s="113"/>
      <c r="X38" s="113">
        <f t="shared" si="30"/>
        <v>0</v>
      </c>
      <c r="Y38" s="113">
        <v>295439</v>
      </c>
      <c r="Z38" s="113">
        <f t="shared" si="31"/>
        <v>1</v>
      </c>
      <c r="AA38" s="118">
        <v>-295439</v>
      </c>
      <c r="AB38" s="122"/>
      <c r="AC38" s="26">
        <f>AE38+AG38</f>
        <v>0</v>
      </c>
      <c r="AD38" s="104">
        <f t="shared" si="17"/>
        <v>0</v>
      </c>
      <c r="AE38" s="104"/>
      <c r="AF38" s="104">
        <f t="shared" si="33"/>
        <v>0</v>
      </c>
      <c r="AG38" s="104"/>
      <c r="AH38" s="104">
        <f t="shared" si="34"/>
        <v>0</v>
      </c>
      <c r="AI38" s="104">
        <f t="shared" si="35"/>
        <v>0</v>
      </c>
      <c r="AJ38" s="104"/>
      <c r="AK38" s="104">
        <v>1</v>
      </c>
      <c r="AL38" s="104">
        <v>271119</v>
      </c>
      <c r="AM38" s="104">
        <v>1</v>
      </c>
      <c r="AN38" s="104">
        <f t="shared" si="36"/>
        <v>-250000</v>
      </c>
      <c r="AO38" s="104"/>
      <c r="AP38" s="113">
        <f t="shared" si="37"/>
        <v>295439</v>
      </c>
      <c r="AQ38" s="113"/>
      <c r="AR38" s="34">
        <f t="shared" si="38"/>
        <v>521119</v>
      </c>
      <c r="AS38" s="10">
        <f t="shared" si="38"/>
        <v>1</v>
      </c>
      <c r="AT38" s="10">
        <f>225680+295439</f>
        <v>521119</v>
      </c>
      <c r="AU38" s="10">
        <f t="shared" si="39"/>
        <v>1</v>
      </c>
      <c r="AV38" s="10"/>
      <c r="AW38" s="10">
        <f t="shared" si="40"/>
        <v>0</v>
      </c>
      <c r="AX38" s="10">
        <f>AT38/0.9*0.1</f>
        <v>57902.111111111117</v>
      </c>
      <c r="AY38" s="10">
        <v>1</v>
      </c>
      <c r="AZ38" s="10"/>
      <c r="BA38" s="10">
        <v>0</v>
      </c>
      <c r="BB38" s="10">
        <v>0</v>
      </c>
      <c r="BC38" s="10">
        <f t="shared" si="42"/>
        <v>0</v>
      </c>
      <c r="BD38" s="10"/>
      <c r="BE38" s="26">
        <f t="shared" si="43"/>
        <v>0</v>
      </c>
      <c r="BF38" s="104">
        <f t="shared" si="43"/>
        <v>0</v>
      </c>
      <c r="BG38" s="104"/>
      <c r="BH38" s="104">
        <f t="shared" si="44"/>
        <v>0</v>
      </c>
      <c r="BI38" s="104"/>
      <c r="BJ38" s="104">
        <f t="shared" si="45"/>
        <v>0</v>
      </c>
      <c r="BK38" s="104"/>
      <c r="BL38" s="104"/>
      <c r="BM38" s="104"/>
      <c r="BN38" s="104" t="s">
        <v>178</v>
      </c>
      <c r="BO38" s="104" t="s">
        <v>179</v>
      </c>
      <c r="BP38" s="104" t="s">
        <v>180</v>
      </c>
      <c r="BQ38" s="104" t="s">
        <v>181</v>
      </c>
      <c r="BR38" s="104" t="s">
        <v>182</v>
      </c>
      <c r="BS38" s="104" t="s">
        <v>183</v>
      </c>
      <c r="BT38" s="55" t="s">
        <v>1079</v>
      </c>
    </row>
    <row r="39" spans="1:77" ht="52.5" customHeight="1" outlineLevel="1" x14ac:dyDescent="0.25">
      <c r="A39" s="106"/>
      <c r="B39" s="59">
        <v>9</v>
      </c>
      <c r="C39" s="104" t="s">
        <v>192</v>
      </c>
      <c r="D39" s="104" t="s">
        <v>193</v>
      </c>
      <c r="E39" s="104" t="s">
        <v>10</v>
      </c>
      <c r="F39" s="104">
        <v>664477</v>
      </c>
      <c r="G39" s="104">
        <v>643915.71</v>
      </c>
      <c r="H39" s="104"/>
      <c r="I39" s="104"/>
      <c r="J39" s="104"/>
      <c r="K39" s="104"/>
      <c r="L39" s="104"/>
      <c r="M39" s="104">
        <v>0</v>
      </c>
      <c r="N39" s="104">
        <f t="shared" si="27"/>
        <v>0</v>
      </c>
      <c r="O39" s="104">
        <v>289762</v>
      </c>
      <c r="P39" s="104">
        <v>1</v>
      </c>
      <c r="Q39" s="26">
        <v>80000</v>
      </c>
      <c r="R39" s="104">
        <v>1</v>
      </c>
      <c r="S39" s="104">
        <f t="shared" si="28"/>
        <v>80000</v>
      </c>
      <c r="T39" s="104"/>
      <c r="U39" s="26">
        <f t="shared" si="29"/>
        <v>142694</v>
      </c>
      <c r="V39" s="113">
        <f t="shared" si="25"/>
        <v>1</v>
      </c>
      <c r="W39" s="113"/>
      <c r="X39" s="113">
        <f t="shared" si="30"/>
        <v>0</v>
      </c>
      <c r="Y39" s="113">
        <v>142694</v>
      </c>
      <c r="Z39" s="113">
        <f t="shared" si="31"/>
        <v>1</v>
      </c>
      <c r="AA39" s="118">
        <v>-142694</v>
      </c>
      <c r="AB39" s="122"/>
      <c r="AC39" s="26">
        <f t="shared" si="32"/>
        <v>0</v>
      </c>
      <c r="AD39" s="104">
        <f t="shared" si="17"/>
        <v>0</v>
      </c>
      <c r="AE39" s="104"/>
      <c r="AF39" s="104">
        <f t="shared" si="33"/>
        <v>0</v>
      </c>
      <c r="AG39" s="104"/>
      <c r="AH39" s="104">
        <f t="shared" si="34"/>
        <v>0</v>
      </c>
      <c r="AI39" s="104">
        <f t="shared" si="35"/>
        <v>0</v>
      </c>
      <c r="AJ39" s="104"/>
      <c r="AK39" s="104">
        <v>1</v>
      </c>
      <c r="AL39" s="104">
        <v>499524</v>
      </c>
      <c r="AM39" s="104">
        <v>1</v>
      </c>
      <c r="AN39" s="104">
        <f t="shared" si="36"/>
        <v>-80001</v>
      </c>
      <c r="AO39" s="104"/>
      <c r="AP39" s="113">
        <f t="shared" si="37"/>
        <v>142694</v>
      </c>
      <c r="AQ39" s="113"/>
      <c r="AR39" s="34">
        <f t="shared" si="38"/>
        <v>579525</v>
      </c>
      <c r="AS39" s="10">
        <f t="shared" si="38"/>
        <v>1</v>
      </c>
      <c r="AT39" s="10">
        <f>199525+27306+210000+142694</f>
        <v>579525</v>
      </c>
      <c r="AU39" s="10">
        <f t="shared" si="39"/>
        <v>1</v>
      </c>
      <c r="AV39" s="10"/>
      <c r="AW39" s="10">
        <f t="shared" si="40"/>
        <v>0</v>
      </c>
      <c r="AX39" s="10">
        <f>AT39/0.9*0.1</f>
        <v>64391.666666666664</v>
      </c>
      <c r="AY39" s="10">
        <v>1</v>
      </c>
      <c r="AZ39" s="10"/>
      <c r="BA39" s="10">
        <v>0</v>
      </c>
      <c r="BB39" s="10">
        <v>0</v>
      </c>
      <c r="BC39" s="10">
        <f t="shared" si="42"/>
        <v>0</v>
      </c>
      <c r="BD39" s="10"/>
      <c r="BE39" s="26">
        <f t="shared" si="43"/>
        <v>0</v>
      </c>
      <c r="BF39" s="104">
        <f t="shared" si="43"/>
        <v>0</v>
      </c>
      <c r="BG39" s="104"/>
      <c r="BH39" s="104">
        <f t="shared" si="44"/>
        <v>0</v>
      </c>
      <c r="BI39" s="104"/>
      <c r="BJ39" s="104">
        <f t="shared" si="45"/>
        <v>0</v>
      </c>
      <c r="BK39" s="104"/>
      <c r="BL39" s="104"/>
      <c r="BM39" s="104"/>
      <c r="BN39" s="104" t="s">
        <v>184</v>
      </c>
      <c r="BO39" s="104" t="s">
        <v>185</v>
      </c>
      <c r="BP39" s="104" t="s">
        <v>186</v>
      </c>
      <c r="BQ39" s="104" t="s">
        <v>187</v>
      </c>
      <c r="BR39" s="104" t="s">
        <v>188</v>
      </c>
      <c r="BS39" s="104" t="s">
        <v>189</v>
      </c>
      <c r="BT39" s="55" t="s">
        <v>190</v>
      </c>
    </row>
    <row r="40" spans="1:77" s="35" customFormat="1" ht="11.25" x14ac:dyDescent="0.25">
      <c r="A40" s="48"/>
      <c r="B40" s="60">
        <v>17</v>
      </c>
      <c r="C40" s="26" t="s">
        <v>533</v>
      </c>
      <c r="D40" s="26"/>
      <c r="E40" s="26"/>
      <c r="F40" s="26">
        <f>F41+F58</f>
        <v>5712966.0619999999</v>
      </c>
      <c r="G40" s="26">
        <f>G41+G58</f>
        <v>5570729</v>
      </c>
      <c r="H40" s="26" t="e">
        <f>H41</f>
        <v>#REF!</v>
      </c>
      <c r="I40" s="26" t="e">
        <f>I41</f>
        <v>#REF!</v>
      </c>
      <c r="J40" s="26"/>
      <c r="K40" s="26"/>
      <c r="L40" s="26"/>
      <c r="M40" s="26">
        <f>M41+M58</f>
        <v>675000</v>
      </c>
      <c r="N40" s="26">
        <f>N41+N58</f>
        <v>950000</v>
      </c>
      <c r="O40" s="26">
        <v>4076259</v>
      </c>
      <c r="P40" s="26">
        <v>19</v>
      </c>
      <c r="Q40" s="26">
        <v>3433276</v>
      </c>
      <c r="R40" s="26">
        <v>16</v>
      </c>
      <c r="S40" s="26">
        <f>Q40-AC40</f>
        <v>2673276</v>
      </c>
      <c r="T40" s="26">
        <f>T41+T58</f>
        <v>0</v>
      </c>
      <c r="U40" s="26">
        <f t="shared" ref="U40:V40" si="46">U41+U58</f>
        <v>3312456</v>
      </c>
      <c r="V40" s="26">
        <f t="shared" si="46"/>
        <v>15</v>
      </c>
      <c r="W40" s="26">
        <f t="shared" ref="W40:Z40" si="47">W41+W58</f>
        <v>760000</v>
      </c>
      <c r="X40" s="26">
        <f t="shared" si="47"/>
        <v>3</v>
      </c>
      <c r="Y40" s="26">
        <f t="shared" si="47"/>
        <v>2552456</v>
      </c>
      <c r="Z40" s="26">
        <f t="shared" si="47"/>
        <v>12</v>
      </c>
      <c r="AA40" s="26">
        <f t="shared" ref="AA40:AB40" si="48">AA41+AA58</f>
        <v>-2552456</v>
      </c>
      <c r="AB40" s="26">
        <f t="shared" si="48"/>
        <v>0</v>
      </c>
      <c r="AC40" s="26">
        <f>AC41+AC58</f>
        <v>760000</v>
      </c>
      <c r="AD40" s="26">
        <f t="shared" si="17"/>
        <v>3</v>
      </c>
      <c r="AE40" s="26">
        <f>AE41+AE58</f>
        <v>760000</v>
      </c>
      <c r="AF40" s="26">
        <f>AF41+AF58</f>
        <v>3</v>
      </c>
      <c r="AG40" s="26">
        <f>AG41+AG58</f>
        <v>0</v>
      </c>
      <c r="AH40" s="26">
        <f>AH41+AH58</f>
        <v>0</v>
      </c>
      <c r="AI40" s="26">
        <f>AI41+AI58</f>
        <v>190000</v>
      </c>
      <c r="AJ40" s="26">
        <f t="shared" ref="AJ40:AQ40" si="49">AJ41+AJ58</f>
        <v>14</v>
      </c>
      <c r="AK40" s="26">
        <f t="shared" si="49"/>
        <v>1</v>
      </c>
      <c r="AL40" s="26">
        <f t="shared" si="49"/>
        <v>560719</v>
      </c>
      <c r="AM40" s="26">
        <f t="shared" si="49"/>
        <v>3</v>
      </c>
      <c r="AN40" s="26">
        <f t="shared" si="49"/>
        <v>-2552456</v>
      </c>
      <c r="AO40" s="26">
        <f t="shared" si="49"/>
        <v>0</v>
      </c>
      <c r="AP40" s="26">
        <f t="shared" si="49"/>
        <v>2552456</v>
      </c>
      <c r="AQ40" s="26">
        <f t="shared" si="49"/>
        <v>0</v>
      </c>
      <c r="AR40" s="26">
        <f t="shared" ref="AR40:AZ40" si="50">AR41+AR58</f>
        <v>3113175</v>
      </c>
      <c r="AS40" s="26">
        <f t="shared" si="50"/>
        <v>16</v>
      </c>
      <c r="AT40" s="26">
        <f t="shared" si="50"/>
        <v>624284</v>
      </c>
      <c r="AU40" s="26">
        <f t="shared" si="50"/>
        <v>4</v>
      </c>
      <c r="AV40" s="26">
        <f t="shared" si="50"/>
        <v>2488891</v>
      </c>
      <c r="AW40" s="26">
        <f t="shared" si="50"/>
        <v>12</v>
      </c>
      <c r="AX40" s="26">
        <f t="shared" si="50"/>
        <v>778293.75</v>
      </c>
      <c r="AY40" s="26">
        <f t="shared" si="50"/>
        <v>3</v>
      </c>
      <c r="AZ40" s="26">
        <f t="shared" si="50"/>
        <v>60557</v>
      </c>
      <c r="BA40" s="26">
        <v>0</v>
      </c>
      <c r="BB40" s="26">
        <v>0</v>
      </c>
      <c r="BC40" s="34">
        <f t="shared" si="42"/>
        <v>0</v>
      </c>
      <c r="BD40" s="26"/>
      <c r="BE40" s="26">
        <f t="shared" ref="BE40:BT40" si="51">BE41+BE58</f>
        <v>0</v>
      </c>
      <c r="BF40" s="26">
        <f t="shared" si="51"/>
        <v>0</v>
      </c>
      <c r="BG40" s="26">
        <f t="shared" si="51"/>
        <v>0</v>
      </c>
      <c r="BH40" s="26">
        <f t="shared" si="51"/>
        <v>0</v>
      </c>
      <c r="BI40" s="26">
        <f t="shared" si="51"/>
        <v>0</v>
      </c>
      <c r="BJ40" s="26">
        <f t="shared" si="51"/>
        <v>0</v>
      </c>
      <c r="BK40" s="26">
        <f t="shared" si="51"/>
        <v>0</v>
      </c>
      <c r="BL40" s="26">
        <f t="shared" si="51"/>
        <v>0</v>
      </c>
      <c r="BM40" s="26">
        <f t="shared" si="51"/>
        <v>0</v>
      </c>
      <c r="BN40" s="26">
        <f t="shared" si="51"/>
        <v>0</v>
      </c>
      <c r="BO40" s="26">
        <f t="shared" si="51"/>
        <v>0</v>
      </c>
      <c r="BP40" s="26">
        <f t="shared" si="51"/>
        <v>0</v>
      </c>
      <c r="BQ40" s="26">
        <f t="shared" si="51"/>
        <v>0</v>
      </c>
      <c r="BR40" s="26">
        <f t="shared" si="51"/>
        <v>0</v>
      </c>
      <c r="BS40" s="26">
        <f t="shared" si="51"/>
        <v>0</v>
      </c>
      <c r="BT40" s="58">
        <f t="shared" si="51"/>
        <v>0</v>
      </c>
      <c r="BU40" s="25"/>
      <c r="BV40" s="25"/>
      <c r="BW40" s="25"/>
      <c r="BX40" s="25"/>
      <c r="BY40" s="25"/>
    </row>
    <row r="41" spans="1:77" ht="11.25" outlineLevel="1" x14ac:dyDescent="0.25">
      <c r="A41" s="106"/>
      <c r="B41" s="107"/>
      <c r="C41" s="11" t="s">
        <v>7</v>
      </c>
      <c r="D41" s="104"/>
      <c r="E41" s="104"/>
      <c r="F41" s="104">
        <f>SUM(F42:F57)</f>
        <v>5397093.7620000001</v>
      </c>
      <c r="G41" s="104">
        <f>SUM(G42:G57)</f>
        <v>5267944</v>
      </c>
      <c r="H41" s="104" t="e">
        <f>#REF!+H42+H43+H44</f>
        <v>#REF!</v>
      </c>
      <c r="I41" s="104" t="e">
        <f>#REF!+I42+I43+I44</f>
        <v>#REF!</v>
      </c>
      <c r="J41" s="104"/>
      <c r="K41" s="104"/>
      <c r="L41" s="104"/>
      <c r="M41" s="104">
        <f>SUM(M42:M57)</f>
        <v>675000</v>
      </c>
      <c r="N41" s="104">
        <f>AC41+AI41</f>
        <v>950000</v>
      </c>
      <c r="O41" s="104">
        <v>3834031</v>
      </c>
      <c r="P41" s="104">
        <v>18</v>
      </c>
      <c r="Q41" s="26">
        <v>3191048</v>
      </c>
      <c r="R41" s="104">
        <v>15</v>
      </c>
      <c r="S41" s="26">
        <f>SUM(S42:S57)</f>
        <v>2333637</v>
      </c>
      <c r="T41" s="26">
        <f>SUM(T42:T57)</f>
        <v>0</v>
      </c>
      <c r="U41" s="26">
        <f t="shared" ref="U41:V41" si="52">SUM(U42:U57)</f>
        <v>3070228</v>
      </c>
      <c r="V41" s="26">
        <f t="shared" si="52"/>
        <v>14</v>
      </c>
      <c r="W41" s="26">
        <f t="shared" ref="W41:Z41" si="53">SUM(W42:W57)</f>
        <v>760000</v>
      </c>
      <c r="X41" s="26">
        <f t="shared" si="53"/>
        <v>3</v>
      </c>
      <c r="Y41" s="26">
        <f t="shared" si="53"/>
        <v>2310228</v>
      </c>
      <c r="Z41" s="26">
        <f t="shared" si="53"/>
        <v>11</v>
      </c>
      <c r="AA41" s="26">
        <f t="shared" ref="AA41:AB41" si="54">SUM(AA42:AA57)</f>
        <v>-2310228</v>
      </c>
      <c r="AB41" s="26">
        <f t="shared" si="54"/>
        <v>0</v>
      </c>
      <c r="AC41" s="26">
        <f>SUM(AC42:AC57)</f>
        <v>760000</v>
      </c>
      <c r="AD41" s="104">
        <f t="shared" si="17"/>
        <v>3</v>
      </c>
      <c r="AE41" s="104">
        <f>SUM(AE42:AE57)</f>
        <v>760000</v>
      </c>
      <c r="AF41" s="104">
        <f>SUM(AF42:AF57)</f>
        <v>3</v>
      </c>
      <c r="AG41" s="104">
        <f>SUM(AG42:AG57)</f>
        <v>0</v>
      </c>
      <c r="AH41" s="104">
        <f>SUM(AH42:AH57)</f>
        <v>0</v>
      </c>
      <c r="AI41" s="104">
        <f>SUM(AI42:AI57)</f>
        <v>190000</v>
      </c>
      <c r="AJ41" s="113">
        <f t="shared" ref="AJ41:AQ41" si="55">SUM(AJ42:AJ57)</f>
        <v>13</v>
      </c>
      <c r="AK41" s="113">
        <f t="shared" si="55"/>
        <v>1</v>
      </c>
      <c r="AL41" s="113">
        <f t="shared" si="55"/>
        <v>560719</v>
      </c>
      <c r="AM41" s="113">
        <f t="shared" si="55"/>
        <v>3</v>
      </c>
      <c r="AN41" s="113">
        <f t="shared" si="55"/>
        <v>-2310228</v>
      </c>
      <c r="AO41" s="113">
        <f t="shared" si="55"/>
        <v>0</v>
      </c>
      <c r="AP41" s="113">
        <f t="shared" si="55"/>
        <v>2310228</v>
      </c>
      <c r="AQ41" s="113">
        <f t="shared" si="55"/>
        <v>0</v>
      </c>
      <c r="AR41" s="34">
        <f t="shared" si="38"/>
        <v>2870947</v>
      </c>
      <c r="AS41" s="10">
        <f t="shared" ref="AS41:AZ41" si="56">SUM(AS42:AS57)</f>
        <v>15</v>
      </c>
      <c r="AT41" s="10">
        <f t="shared" si="56"/>
        <v>624284</v>
      </c>
      <c r="AU41" s="10">
        <f t="shared" si="56"/>
        <v>4</v>
      </c>
      <c r="AV41" s="10">
        <f t="shared" si="56"/>
        <v>2246663</v>
      </c>
      <c r="AW41" s="10">
        <f t="shared" si="56"/>
        <v>11</v>
      </c>
      <c r="AX41" s="10">
        <f t="shared" si="56"/>
        <v>717736.75</v>
      </c>
      <c r="AY41" s="10">
        <f t="shared" si="56"/>
        <v>3</v>
      </c>
      <c r="AZ41" s="10">
        <f t="shared" si="56"/>
        <v>0</v>
      </c>
      <c r="BA41" s="10">
        <v>0</v>
      </c>
      <c r="BB41" s="10">
        <v>0</v>
      </c>
      <c r="BC41" s="10">
        <f t="shared" si="42"/>
        <v>0</v>
      </c>
      <c r="BD41" s="10"/>
      <c r="BE41" s="26">
        <f t="shared" ref="BE41:BT41" si="57">SUM(BE42:BE57)</f>
        <v>0</v>
      </c>
      <c r="BF41" s="104">
        <f t="shared" si="57"/>
        <v>0</v>
      </c>
      <c r="BG41" s="104">
        <f t="shared" si="57"/>
        <v>0</v>
      </c>
      <c r="BH41" s="104">
        <f t="shared" si="57"/>
        <v>0</v>
      </c>
      <c r="BI41" s="104">
        <f t="shared" si="57"/>
        <v>0</v>
      </c>
      <c r="BJ41" s="104">
        <f t="shared" si="57"/>
        <v>0</v>
      </c>
      <c r="BK41" s="104">
        <f t="shared" si="57"/>
        <v>0</v>
      </c>
      <c r="BL41" s="104">
        <f t="shared" si="57"/>
        <v>0</v>
      </c>
      <c r="BM41" s="104">
        <f t="shared" si="57"/>
        <v>0</v>
      </c>
      <c r="BN41" s="104">
        <f t="shared" si="57"/>
        <v>0</v>
      </c>
      <c r="BO41" s="104">
        <f t="shared" si="57"/>
        <v>0</v>
      </c>
      <c r="BP41" s="104">
        <f t="shared" si="57"/>
        <v>0</v>
      </c>
      <c r="BQ41" s="104">
        <f t="shared" si="57"/>
        <v>0</v>
      </c>
      <c r="BR41" s="104">
        <f t="shared" si="57"/>
        <v>0</v>
      </c>
      <c r="BS41" s="104">
        <f t="shared" si="57"/>
        <v>0</v>
      </c>
      <c r="BT41" s="55">
        <f t="shared" si="57"/>
        <v>0</v>
      </c>
    </row>
    <row r="42" spans="1:77" ht="43.5" customHeight="1" outlineLevel="1" x14ac:dyDescent="0.25">
      <c r="A42" s="106"/>
      <c r="B42" s="59">
        <v>1</v>
      </c>
      <c r="C42" s="104" t="s">
        <v>1346</v>
      </c>
      <c r="D42" s="104" t="s">
        <v>220</v>
      </c>
      <c r="E42" s="104" t="s">
        <v>9</v>
      </c>
      <c r="F42" s="104">
        <v>265633</v>
      </c>
      <c r="G42" s="104">
        <v>254968</v>
      </c>
      <c r="H42" s="104">
        <v>237928</v>
      </c>
      <c r="I42" s="104">
        <f t="shared" ref="I42:I44" si="58">G42-H42</f>
        <v>17040</v>
      </c>
      <c r="J42" s="104">
        <v>1</v>
      </c>
      <c r="K42" s="104">
        <v>1</v>
      </c>
      <c r="L42" s="104"/>
      <c r="M42" s="104">
        <v>125000</v>
      </c>
      <c r="N42" s="104">
        <f>AC42+AI42</f>
        <v>112926.25</v>
      </c>
      <c r="O42" s="104">
        <v>103974</v>
      </c>
      <c r="P42" s="104">
        <v>1</v>
      </c>
      <c r="Q42" s="26">
        <v>103974</v>
      </c>
      <c r="R42" s="104">
        <v>1</v>
      </c>
      <c r="S42" s="104">
        <f t="shared" si="28"/>
        <v>13633</v>
      </c>
      <c r="T42" s="104"/>
      <c r="U42" s="26">
        <f t="shared" ref="U42:V57" si="59">W42+Y42</f>
        <v>90341</v>
      </c>
      <c r="V42" s="113">
        <f t="shared" si="59"/>
        <v>1</v>
      </c>
      <c r="W42" s="113">
        <v>90341</v>
      </c>
      <c r="X42" s="113">
        <f t="shared" ref="X42:X57" si="60">IF(W42,1,0)</f>
        <v>1</v>
      </c>
      <c r="Y42" s="113"/>
      <c r="Z42" s="113">
        <f t="shared" ref="Z42:Z57" si="61">IF(Y42,1,0)</f>
        <v>0</v>
      </c>
      <c r="AA42" s="118">
        <v>0</v>
      </c>
      <c r="AB42" s="122"/>
      <c r="AC42" s="26">
        <f t="shared" si="32"/>
        <v>90341</v>
      </c>
      <c r="AD42" s="104">
        <f t="shared" si="17"/>
        <v>1</v>
      </c>
      <c r="AE42" s="104">
        <v>90341</v>
      </c>
      <c r="AF42" s="104">
        <f t="shared" ref="AF42:AF57" si="62">IF(AE42,1,0)</f>
        <v>1</v>
      </c>
      <c r="AG42" s="104"/>
      <c r="AH42" s="104">
        <f t="shared" ref="AH42:AH57" si="63">IF(AG42,1,0)</f>
        <v>0</v>
      </c>
      <c r="AI42" s="104">
        <f t="shared" ref="AI42:AI57" si="64">AC42/0.8*0.2</f>
        <v>22585.25</v>
      </c>
      <c r="AJ42" s="104">
        <v>1</v>
      </c>
      <c r="AK42" s="104"/>
      <c r="AL42" s="104">
        <v>0</v>
      </c>
      <c r="AM42" s="104">
        <v>0</v>
      </c>
      <c r="AN42" s="104">
        <f t="shared" si="36"/>
        <v>0</v>
      </c>
      <c r="AO42" s="104"/>
      <c r="AP42" s="113">
        <f>U42-AC42</f>
        <v>0</v>
      </c>
      <c r="AQ42" s="113"/>
      <c r="AR42" s="34">
        <f t="shared" si="38"/>
        <v>0</v>
      </c>
      <c r="AS42" s="10">
        <f t="shared" si="38"/>
        <v>0</v>
      </c>
      <c r="AT42" s="10"/>
      <c r="AU42" s="10">
        <f t="shared" si="39"/>
        <v>0</v>
      </c>
      <c r="AV42" s="10"/>
      <c r="AW42" s="10">
        <f t="shared" si="40"/>
        <v>0</v>
      </c>
      <c r="AX42" s="10"/>
      <c r="AY42" s="10"/>
      <c r="AZ42" s="10"/>
      <c r="BA42" s="10">
        <v>0</v>
      </c>
      <c r="BB42" s="10">
        <v>0</v>
      </c>
      <c r="BC42" s="10">
        <f t="shared" si="42"/>
        <v>0</v>
      </c>
      <c r="BD42" s="10"/>
      <c r="BE42" s="26">
        <f t="shared" si="43"/>
        <v>0</v>
      </c>
      <c r="BF42" s="104">
        <f t="shared" si="43"/>
        <v>0</v>
      </c>
      <c r="BG42" s="104"/>
      <c r="BH42" s="104">
        <f t="shared" si="44"/>
        <v>0</v>
      </c>
      <c r="BI42" s="104"/>
      <c r="BJ42" s="104">
        <f t="shared" si="45"/>
        <v>0</v>
      </c>
      <c r="BK42" s="104"/>
      <c r="BL42" s="104"/>
      <c r="BM42" s="104"/>
      <c r="BN42" s="104" t="s">
        <v>224</v>
      </c>
      <c r="BO42" s="104" t="s">
        <v>225</v>
      </c>
      <c r="BP42" s="104" t="s">
        <v>226</v>
      </c>
      <c r="BQ42" s="104" t="s">
        <v>227</v>
      </c>
      <c r="BR42" s="104" t="s">
        <v>228</v>
      </c>
      <c r="BS42" s="104" t="s">
        <v>229</v>
      </c>
      <c r="BT42" s="55" t="s">
        <v>851</v>
      </c>
    </row>
    <row r="43" spans="1:77" ht="63.75" customHeight="1" outlineLevel="1" x14ac:dyDescent="0.25">
      <c r="A43" s="106"/>
      <c r="B43" s="59">
        <v>2</v>
      </c>
      <c r="C43" s="104" t="s">
        <v>223</v>
      </c>
      <c r="D43" s="104" t="s">
        <v>856</v>
      </c>
      <c r="E43" s="104" t="s">
        <v>9</v>
      </c>
      <c r="F43" s="104">
        <v>744645.83</v>
      </c>
      <c r="G43" s="104">
        <v>735409</v>
      </c>
      <c r="H43" s="67">
        <v>729218</v>
      </c>
      <c r="I43" s="104">
        <f t="shared" si="58"/>
        <v>6191</v>
      </c>
      <c r="J43" s="104">
        <v>1</v>
      </c>
      <c r="K43" s="104">
        <v>1</v>
      </c>
      <c r="L43" s="104">
        <v>1</v>
      </c>
      <c r="M43" s="104">
        <v>300000</v>
      </c>
      <c r="N43" s="104">
        <f t="shared" ref="N43:N57" si="65">AC43+AI43</f>
        <v>429217.5</v>
      </c>
      <c r="O43" s="104">
        <v>348327</v>
      </c>
      <c r="P43" s="104">
        <v>1</v>
      </c>
      <c r="Q43" s="26">
        <v>348327</v>
      </c>
      <c r="R43" s="104">
        <v>1</v>
      </c>
      <c r="S43" s="104">
        <f t="shared" si="28"/>
        <v>4953</v>
      </c>
      <c r="T43" s="104"/>
      <c r="U43" s="26">
        <f t="shared" si="59"/>
        <v>343374</v>
      </c>
      <c r="V43" s="113">
        <f t="shared" si="59"/>
        <v>1</v>
      </c>
      <c r="W43" s="113">
        <v>343374</v>
      </c>
      <c r="X43" s="113">
        <f t="shared" si="60"/>
        <v>1</v>
      </c>
      <c r="Y43" s="113"/>
      <c r="Z43" s="113">
        <f t="shared" si="61"/>
        <v>0</v>
      </c>
      <c r="AA43" s="118">
        <v>0</v>
      </c>
      <c r="AB43" s="122"/>
      <c r="AC43" s="26">
        <f t="shared" si="32"/>
        <v>343374</v>
      </c>
      <c r="AD43" s="104">
        <f t="shared" si="17"/>
        <v>1</v>
      </c>
      <c r="AE43" s="104">
        <f>343374</f>
        <v>343374</v>
      </c>
      <c r="AF43" s="104">
        <f t="shared" si="62"/>
        <v>1</v>
      </c>
      <c r="AG43" s="104"/>
      <c r="AH43" s="104">
        <f t="shared" si="63"/>
        <v>0</v>
      </c>
      <c r="AI43" s="104">
        <f t="shared" si="64"/>
        <v>85843.5</v>
      </c>
      <c r="AJ43" s="104">
        <v>1</v>
      </c>
      <c r="AK43" s="104"/>
      <c r="AL43" s="104">
        <v>0</v>
      </c>
      <c r="AM43" s="104">
        <v>0</v>
      </c>
      <c r="AN43" s="104">
        <f t="shared" si="36"/>
        <v>-90000</v>
      </c>
      <c r="AO43" s="104"/>
      <c r="AP43" s="113">
        <f t="shared" ref="AP43:AP59" si="66">U43-AC43</f>
        <v>0</v>
      </c>
      <c r="AQ43" s="113"/>
      <c r="AR43" s="34">
        <f t="shared" si="38"/>
        <v>90000</v>
      </c>
      <c r="AS43" s="10">
        <f t="shared" si="38"/>
        <v>1</v>
      </c>
      <c r="AT43" s="10">
        <f>90000</f>
        <v>90000</v>
      </c>
      <c r="AU43" s="10">
        <f t="shared" si="39"/>
        <v>1</v>
      </c>
      <c r="AV43" s="10"/>
      <c r="AW43" s="10">
        <f t="shared" si="40"/>
        <v>0</v>
      </c>
      <c r="AX43" s="10">
        <f t="shared" ref="AX43:AX45" si="67">AR43/0.8*0.2</f>
        <v>22500</v>
      </c>
      <c r="AY43" s="10"/>
      <c r="AZ43" s="10"/>
      <c r="BA43" s="10">
        <v>0</v>
      </c>
      <c r="BB43" s="10">
        <v>0</v>
      </c>
      <c r="BC43" s="10">
        <f t="shared" si="42"/>
        <v>0</v>
      </c>
      <c r="BD43" s="10"/>
      <c r="BE43" s="26">
        <f t="shared" si="43"/>
        <v>0</v>
      </c>
      <c r="BF43" s="104">
        <f t="shared" si="43"/>
        <v>0</v>
      </c>
      <c r="BG43" s="104"/>
      <c r="BH43" s="104">
        <f t="shared" si="44"/>
        <v>0</v>
      </c>
      <c r="BI43" s="104"/>
      <c r="BJ43" s="104">
        <f t="shared" si="45"/>
        <v>0</v>
      </c>
      <c r="BK43" s="104"/>
      <c r="BL43" s="104"/>
      <c r="BM43" s="104"/>
      <c r="BN43" s="104" t="s">
        <v>237</v>
      </c>
      <c r="BO43" s="104" t="s">
        <v>236</v>
      </c>
      <c r="BP43" s="104" t="s">
        <v>238</v>
      </c>
      <c r="BQ43" s="104" t="s">
        <v>239</v>
      </c>
      <c r="BR43" s="104" t="s">
        <v>240</v>
      </c>
      <c r="BS43" s="104" t="s">
        <v>241</v>
      </c>
      <c r="BT43" s="55" t="s">
        <v>852</v>
      </c>
    </row>
    <row r="44" spans="1:77" ht="42.75" customHeight="1" outlineLevel="1" x14ac:dyDescent="0.25">
      <c r="A44" s="106"/>
      <c r="B44" s="59">
        <v>3</v>
      </c>
      <c r="C44" s="104" t="s">
        <v>853</v>
      </c>
      <c r="D44" s="104" t="s">
        <v>855</v>
      </c>
      <c r="E44" s="104" t="s">
        <v>9</v>
      </c>
      <c r="F44" s="104">
        <v>673092</v>
      </c>
      <c r="G44" s="104">
        <v>663885</v>
      </c>
      <c r="H44" s="67">
        <v>657856</v>
      </c>
      <c r="I44" s="104">
        <f t="shared" si="58"/>
        <v>6029</v>
      </c>
      <c r="J44" s="104">
        <v>1</v>
      </c>
      <c r="K44" s="104">
        <v>1</v>
      </c>
      <c r="L44" s="104">
        <v>1</v>
      </c>
      <c r="M44" s="104">
        <v>250000</v>
      </c>
      <c r="N44" s="104">
        <f t="shared" si="65"/>
        <v>407856.25</v>
      </c>
      <c r="O44" s="104">
        <v>331108</v>
      </c>
      <c r="P44" s="104">
        <v>1</v>
      </c>
      <c r="Q44" s="26">
        <v>331108</v>
      </c>
      <c r="R44" s="104">
        <v>1</v>
      </c>
      <c r="S44" s="104">
        <f t="shared" si="28"/>
        <v>4823</v>
      </c>
      <c r="T44" s="104"/>
      <c r="U44" s="26">
        <f t="shared" si="59"/>
        <v>326285</v>
      </c>
      <c r="V44" s="113">
        <f t="shared" si="59"/>
        <v>1</v>
      </c>
      <c r="W44" s="113">
        <v>326285</v>
      </c>
      <c r="X44" s="113">
        <f t="shared" si="60"/>
        <v>1</v>
      </c>
      <c r="Y44" s="113"/>
      <c r="Z44" s="113">
        <f t="shared" si="61"/>
        <v>0</v>
      </c>
      <c r="AA44" s="118">
        <v>0</v>
      </c>
      <c r="AB44" s="122"/>
      <c r="AC44" s="26">
        <f t="shared" si="32"/>
        <v>326285</v>
      </c>
      <c r="AD44" s="104">
        <f t="shared" si="17"/>
        <v>1</v>
      </c>
      <c r="AE44" s="104">
        <f>326285</f>
        <v>326285</v>
      </c>
      <c r="AF44" s="104">
        <f t="shared" si="62"/>
        <v>1</v>
      </c>
      <c r="AG44" s="104"/>
      <c r="AH44" s="104">
        <f t="shared" si="63"/>
        <v>0</v>
      </c>
      <c r="AI44" s="104">
        <f t="shared" si="64"/>
        <v>81571.25</v>
      </c>
      <c r="AJ44" s="104">
        <v>1</v>
      </c>
      <c r="AK44" s="104"/>
      <c r="AL44" s="104">
        <v>0</v>
      </c>
      <c r="AM44" s="104">
        <v>0</v>
      </c>
      <c r="AN44" s="104">
        <f t="shared" si="36"/>
        <v>-90000</v>
      </c>
      <c r="AO44" s="104"/>
      <c r="AP44" s="113">
        <f t="shared" si="66"/>
        <v>0</v>
      </c>
      <c r="AQ44" s="113"/>
      <c r="AR44" s="34">
        <f t="shared" si="38"/>
        <v>90000</v>
      </c>
      <c r="AS44" s="10">
        <f t="shared" si="38"/>
        <v>1</v>
      </c>
      <c r="AT44" s="10">
        <f>90000</f>
        <v>90000</v>
      </c>
      <c r="AU44" s="10">
        <f t="shared" si="39"/>
        <v>1</v>
      </c>
      <c r="AV44" s="10"/>
      <c r="AW44" s="10">
        <f t="shared" si="40"/>
        <v>0</v>
      </c>
      <c r="AX44" s="10">
        <f t="shared" si="67"/>
        <v>22500</v>
      </c>
      <c r="AY44" s="10"/>
      <c r="AZ44" s="10"/>
      <c r="BA44" s="10">
        <v>0</v>
      </c>
      <c r="BB44" s="10">
        <v>0</v>
      </c>
      <c r="BC44" s="10">
        <f t="shared" si="42"/>
        <v>0</v>
      </c>
      <c r="BD44" s="10"/>
      <c r="BE44" s="26">
        <f t="shared" si="43"/>
        <v>0</v>
      </c>
      <c r="BF44" s="104">
        <f t="shared" si="43"/>
        <v>0</v>
      </c>
      <c r="BG44" s="104"/>
      <c r="BH44" s="104">
        <f t="shared" si="44"/>
        <v>0</v>
      </c>
      <c r="BI44" s="104"/>
      <c r="BJ44" s="104">
        <f t="shared" si="45"/>
        <v>0</v>
      </c>
      <c r="BK44" s="104"/>
      <c r="BL44" s="104"/>
      <c r="BM44" s="104"/>
      <c r="BN44" s="104" t="s">
        <v>242</v>
      </c>
      <c r="BO44" s="104" t="s">
        <v>243</v>
      </c>
      <c r="BP44" s="104" t="s">
        <v>244</v>
      </c>
      <c r="BQ44" s="104" t="s">
        <v>245</v>
      </c>
      <c r="BR44" s="104" t="s">
        <v>1347</v>
      </c>
      <c r="BS44" s="104" t="s">
        <v>246</v>
      </c>
      <c r="BT44" s="55" t="s">
        <v>854</v>
      </c>
    </row>
    <row r="45" spans="1:77" ht="45.75" customHeight="1" outlineLevel="1" x14ac:dyDescent="0.25">
      <c r="A45" s="106"/>
      <c r="B45" s="59">
        <v>4</v>
      </c>
      <c r="C45" s="104" t="s">
        <v>221</v>
      </c>
      <c r="D45" s="104" t="s">
        <v>222</v>
      </c>
      <c r="E45" s="104">
        <v>2015</v>
      </c>
      <c r="F45" s="104">
        <v>565011</v>
      </c>
      <c r="G45" s="104">
        <v>552204</v>
      </c>
      <c r="H45" s="104"/>
      <c r="I45" s="104"/>
      <c r="J45" s="104"/>
      <c r="K45" s="104">
        <v>1</v>
      </c>
      <c r="L45" s="104"/>
      <c r="M45" s="104">
        <v>0</v>
      </c>
      <c r="N45" s="104">
        <f t="shared" si="65"/>
        <v>0</v>
      </c>
      <c r="O45" s="104">
        <v>441764</v>
      </c>
      <c r="P45" s="104">
        <v>1</v>
      </c>
      <c r="Q45" s="26">
        <v>325937</v>
      </c>
      <c r="R45" s="104">
        <v>1</v>
      </c>
      <c r="S45" s="104">
        <f t="shared" si="28"/>
        <v>325937</v>
      </c>
      <c r="T45" s="104"/>
      <c r="U45" s="26">
        <f t="shared" si="59"/>
        <v>325937</v>
      </c>
      <c r="V45" s="113">
        <f t="shared" si="59"/>
        <v>1</v>
      </c>
      <c r="W45" s="113"/>
      <c r="X45" s="113">
        <f t="shared" si="60"/>
        <v>0</v>
      </c>
      <c r="Y45" s="113">
        <v>325937</v>
      </c>
      <c r="Z45" s="113">
        <f t="shared" si="61"/>
        <v>1</v>
      </c>
      <c r="AA45" s="118">
        <v>-325937</v>
      </c>
      <c r="AB45" s="122"/>
      <c r="AC45" s="26">
        <f t="shared" si="32"/>
        <v>0</v>
      </c>
      <c r="AD45" s="104">
        <f t="shared" si="17"/>
        <v>0</v>
      </c>
      <c r="AE45" s="104"/>
      <c r="AF45" s="104">
        <f t="shared" si="62"/>
        <v>0</v>
      </c>
      <c r="AG45" s="104"/>
      <c r="AH45" s="104">
        <f t="shared" si="63"/>
        <v>0</v>
      </c>
      <c r="AI45" s="104">
        <f t="shared" si="64"/>
        <v>0</v>
      </c>
      <c r="AJ45" s="104"/>
      <c r="AK45" s="104">
        <v>1</v>
      </c>
      <c r="AL45" s="104">
        <v>115827</v>
      </c>
      <c r="AM45" s="104">
        <v>1</v>
      </c>
      <c r="AN45" s="104">
        <f t="shared" si="36"/>
        <v>-225937</v>
      </c>
      <c r="AO45" s="104"/>
      <c r="AP45" s="113">
        <f t="shared" si="66"/>
        <v>325937</v>
      </c>
      <c r="AQ45" s="113"/>
      <c r="AR45" s="34">
        <f t="shared" si="38"/>
        <v>341764</v>
      </c>
      <c r="AS45" s="10">
        <f t="shared" si="38"/>
        <v>1</v>
      </c>
      <c r="AT45" s="10">
        <f>115827+225937</f>
        <v>341764</v>
      </c>
      <c r="AU45" s="10">
        <f t="shared" si="39"/>
        <v>1</v>
      </c>
      <c r="AV45" s="10"/>
      <c r="AW45" s="10">
        <f t="shared" si="40"/>
        <v>0</v>
      </c>
      <c r="AX45" s="10">
        <f t="shared" si="67"/>
        <v>85441</v>
      </c>
      <c r="AY45" s="10">
        <v>1</v>
      </c>
      <c r="AZ45" s="10"/>
      <c r="BA45" s="10">
        <v>0</v>
      </c>
      <c r="BB45" s="10">
        <v>0</v>
      </c>
      <c r="BC45" s="10">
        <f t="shared" si="42"/>
        <v>0</v>
      </c>
      <c r="BD45" s="10"/>
      <c r="BE45" s="26">
        <f t="shared" si="43"/>
        <v>0</v>
      </c>
      <c r="BF45" s="104">
        <f t="shared" si="43"/>
        <v>0</v>
      </c>
      <c r="BG45" s="104"/>
      <c r="BH45" s="104">
        <f t="shared" si="44"/>
        <v>0</v>
      </c>
      <c r="BI45" s="104"/>
      <c r="BJ45" s="104">
        <f t="shared" si="45"/>
        <v>0</v>
      </c>
      <c r="BK45" s="104"/>
      <c r="BL45" s="104"/>
      <c r="BM45" s="104"/>
      <c r="BN45" s="104" t="s">
        <v>230</v>
      </c>
      <c r="BO45" s="104" t="s">
        <v>231</v>
      </c>
      <c r="BP45" s="104" t="s">
        <v>232</v>
      </c>
      <c r="BQ45" s="104" t="s">
        <v>233</v>
      </c>
      <c r="BR45" s="104" t="s">
        <v>234</v>
      </c>
      <c r="BS45" s="104" t="s">
        <v>235</v>
      </c>
      <c r="BT45" s="55" t="s">
        <v>857</v>
      </c>
    </row>
    <row r="46" spans="1:77" ht="45.75" customHeight="1" outlineLevel="1" x14ac:dyDescent="0.25">
      <c r="A46" s="106"/>
      <c r="B46" s="59">
        <v>5</v>
      </c>
      <c r="C46" s="104" t="s">
        <v>1348</v>
      </c>
      <c r="D46" s="104" t="s">
        <v>858</v>
      </c>
      <c r="E46" s="104" t="s">
        <v>324</v>
      </c>
      <c r="F46" s="104">
        <v>236971.48499999999</v>
      </c>
      <c r="G46" s="104">
        <v>228150</v>
      </c>
      <c r="H46" s="104"/>
      <c r="I46" s="104"/>
      <c r="J46" s="104"/>
      <c r="K46" s="104">
        <v>1</v>
      </c>
      <c r="L46" s="104">
        <v>1</v>
      </c>
      <c r="M46" s="104">
        <v>0</v>
      </c>
      <c r="N46" s="104">
        <f t="shared" si="65"/>
        <v>0</v>
      </c>
      <c r="O46" s="104">
        <v>182520</v>
      </c>
      <c r="P46" s="104">
        <v>1</v>
      </c>
      <c r="Q46" s="26">
        <v>182520</v>
      </c>
      <c r="R46" s="104">
        <v>1</v>
      </c>
      <c r="S46" s="104">
        <f t="shared" si="28"/>
        <v>182520</v>
      </c>
      <c r="T46" s="104"/>
      <c r="U46" s="26">
        <f t="shared" si="59"/>
        <v>182520</v>
      </c>
      <c r="V46" s="113">
        <f t="shared" si="59"/>
        <v>1</v>
      </c>
      <c r="W46" s="113"/>
      <c r="X46" s="113">
        <f t="shared" si="60"/>
        <v>0</v>
      </c>
      <c r="Y46" s="113">
        <v>182520</v>
      </c>
      <c r="Z46" s="113">
        <f t="shared" si="61"/>
        <v>1</v>
      </c>
      <c r="AA46" s="118">
        <v>-182520</v>
      </c>
      <c r="AB46" s="122"/>
      <c r="AC46" s="26">
        <f t="shared" si="32"/>
        <v>0</v>
      </c>
      <c r="AD46" s="104">
        <f t="shared" si="17"/>
        <v>0</v>
      </c>
      <c r="AE46" s="104"/>
      <c r="AF46" s="104">
        <f t="shared" si="62"/>
        <v>0</v>
      </c>
      <c r="AG46" s="104"/>
      <c r="AH46" s="104">
        <f t="shared" si="63"/>
        <v>0</v>
      </c>
      <c r="AI46" s="104">
        <f t="shared" si="64"/>
        <v>0</v>
      </c>
      <c r="AJ46" s="104">
        <v>1</v>
      </c>
      <c r="AK46" s="104"/>
      <c r="AL46" s="104">
        <v>0</v>
      </c>
      <c r="AM46" s="104">
        <v>0</v>
      </c>
      <c r="AN46" s="104">
        <f t="shared" si="36"/>
        <v>-102520</v>
      </c>
      <c r="AO46" s="104"/>
      <c r="AP46" s="113">
        <f t="shared" si="66"/>
        <v>182520</v>
      </c>
      <c r="AQ46" s="113"/>
      <c r="AR46" s="34">
        <f t="shared" si="38"/>
        <v>102520</v>
      </c>
      <c r="AS46" s="10">
        <f t="shared" si="38"/>
        <v>1</v>
      </c>
      <c r="AT46" s="10">
        <f>102520</f>
        <v>102520</v>
      </c>
      <c r="AU46" s="10">
        <f t="shared" si="39"/>
        <v>1</v>
      </c>
      <c r="AV46" s="10"/>
      <c r="AW46" s="10">
        <f t="shared" si="40"/>
        <v>0</v>
      </c>
      <c r="AX46" s="10">
        <f>AR46/0.8*0.2</f>
        <v>25630</v>
      </c>
      <c r="AY46" s="10"/>
      <c r="AZ46" s="10"/>
      <c r="BA46" s="10">
        <v>0</v>
      </c>
      <c r="BB46" s="10">
        <v>0</v>
      </c>
      <c r="BC46" s="10">
        <f t="shared" si="42"/>
        <v>0</v>
      </c>
      <c r="BD46" s="10"/>
      <c r="BE46" s="26">
        <f t="shared" si="43"/>
        <v>0</v>
      </c>
      <c r="BF46" s="104">
        <f t="shared" si="43"/>
        <v>0</v>
      </c>
      <c r="BG46" s="104"/>
      <c r="BH46" s="104">
        <f t="shared" si="44"/>
        <v>0</v>
      </c>
      <c r="BI46" s="104"/>
      <c r="BJ46" s="104">
        <f t="shared" si="45"/>
        <v>0</v>
      </c>
      <c r="BK46" s="104"/>
      <c r="BL46" s="104"/>
      <c r="BM46" s="104"/>
      <c r="BN46" s="104" t="s">
        <v>859</v>
      </c>
      <c r="BO46" s="104" t="s">
        <v>863</v>
      </c>
      <c r="BP46" s="104" t="s">
        <v>860</v>
      </c>
      <c r="BQ46" s="104" t="s">
        <v>862</v>
      </c>
      <c r="BR46" s="104" t="s">
        <v>861</v>
      </c>
      <c r="BS46" s="104" t="s">
        <v>865</v>
      </c>
      <c r="BT46" s="55" t="s">
        <v>864</v>
      </c>
    </row>
    <row r="47" spans="1:77" ht="51.75" customHeight="1" outlineLevel="1" x14ac:dyDescent="0.25">
      <c r="A47" s="106"/>
      <c r="B47" s="59">
        <v>6</v>
      </c>
      <c r="C47" s="104" t="s">
        <v>1444</v>
      </c>
      <c r="D47" s="104" t="s">
        <v>874</v>
      </c>
      <c r="E47" s="104" t="s">
        <v>324</v>
      </c>
      <c r="F47" s="104">
        <v>239029.36</v>
      </c>
      <c r="G47" s="104">
        <v>231203</v>
      </c>
      <c r="H47" s="104"/>
      <c r="I47" s="104"/>
      <c r="J47" s="104"/>
      <c r="K47" s="104">
        <v>1</v>
      </c>
      <c r="L47" s="104"/>
      <c r="M47" s="104">
        <v>0</v>
      </c>
      <c r="N47" s="104">
        <f t="shared" si="65"/>
        <v>0</v>
      </c>
      <c r="O47" s="104">
        <v>184962</v>
      </c>
      <c r="P47" s="104">
        <v>1</v>
      </c>
      <c r="Q47" s="26">
        <v>184962</v>
      </c>
      <c r="R47" s="104">
        <v>1</v>
      </c>
      <c r="S47" s="104">
        <f t="shared" si="28"/>
        <v>184962</v>
      </c>
      <c r="T47" s="104"/>
      <c r="U47" s="26">
        <f>Y47</f>
        <v>184962</v>
      </c>
      <c r="V47" s="113">
        <f t="shared" si="59"/>
        <v>1</v>
      </c>
      <c r="W47" s="113"/>
      <c r="X47" s="113">
        <f t="shared" si="60"/>
        <v>0</v>
      </c>
      <c r="Y47" s="113">
        <v>184962</v>
      </c>
      <c r="Z47" s="113">
        <f t="shared" si="61"/>
        <v>1</v>
      </c>
      <c r="AA47" s="118">
        <v>-184962</v>
      </c>
      <c r="AB47" s="122"/>
      <c r="AC47" s="26">
        <f>AG47</f>
        <v>0</v>
      </c>
      <c r="AD47" s="104">
        <f t="shared" si="17"/>
        <v>0</v>
      </c>
      <c r="AE47" s="104"/>
      <c r="AF47" s="104">
        <f t="shared" si="62"/>
        <v>0</v>
      </c>
      <c r="AG47" s="104"/>
      <c r="AH47" s="104">
        <f t="shared" si="63"/>
        <v>0</v>
      </c>
      <c r="AI47" s="104">
        <f t="shared" si="64"/>
        <v>0</v>
      </c>
      <c r="AJ47" s="104">
        <v>1</v>
      </c>
      <c r="AK47" s="104"/>
      <c r="AL47" s="104">
        <v>0</v>
      </c>
      <c r="AM47" s="104">
        <v>0</v>
      </c>
      <c r="AN47" s="104">
        <f t="shared" si="36"/>
        <v>-184962</v>
      </c>
      <c r="AO47" s="104"/>
      <c r="AP47" s="113">
        <f t="shared" si="66"/>
        <v>184962</v>
      </c>
      <c r="AQ47" s="113"/>
      <c r="AR47" s="34">
        <f t="shared" si="38"/>
        <v>184962</v>
      </c>
      <c r="AS47" s="10">
        <f t="shared" si="38"/>
        <v>1</v>
      </c>
      <c r="AT47" s="10"/>
      <c r="AU47" s="10">
        <f t="shared" si="39"/>
        <v>0</v>
      </c>
      <c r="AV47" s="10">
        <f>184962</f>
        <v>184962</v>
      </c>
      <c r="AW47" s="10">
        <f t="shared" si="40"/>
        <v>1</v>
      </c>
      <c r="AX47" s="10">
        <f>AV47/0.8*0.2</f>
        <v>46240.5</v>
      </c>
      <c r="AY47" s="10"/>
      <c r="AZ47" s="10"/>
      <c r="BA47" s="10">
        <v>0</v>
      </c>
      <c r="BB47" s="10">
        <v>0</v>
      </c>
      <c r="BC47" s="10">
        <f t="shared" si="42"/>
        <v>0</v>
      </c>
      <c r="BD47" s="10"/>
      <c r="BE47" s="26">
        <f t="shared" si="43"/>
        <v>0</v>
      </c>
      <c r="BF47" s="104">
        <f t="shared" si="43"/>
        <v>0</v>
      </c>
      <c r="BG47" s="104"/>
      <c r="BH47" s="104">
        <f t="shared" si="44"/>
        <v>0</v>
      </c>
      <c r="BI47" s="104"/>
      <c r="BJ47" s="104">
        <f t="shared" si="45"/>
        <v>0</v>
      </c>
      <c r="BK47" s="104"/>
      <c r="BL47" s="104"/>
      <c r="BM47" s="104"/>
      <c r="BN47" s="104" t="s">
        <v>875</v>
      </c>
      <c r="BO47" s="104" t="s">
        <v>1084</v>
      </c>
      <c r="BP47" s="104" t="s">
        <v>879</v>
      </c>
      <c r="BQ47" s="104" t="s">
        <v>876</v>
      </c>
      <c r="BR47" s="104" t="s">
        <v>1550</v>
      </c>
      <c r="BS47" s="104" t="s">
        <v>877</v>
      </c>
      <c r="BT47" s="55" t="s">
        <v>878</v>
      </c>
    </row>
    <row r="48" spans="1:77" ht="45.75" customHeight="1" outlineLevel="1" x14ac:dyDescent="0.25">
      <c r="A48" s="106"/>
      <c r="B48" s="59">
        <v>7</v>
      </c>
      <c r="C48" s="104" t="s">
        <v>881</v>
      </c>
      <c r="D48" s="104" t="s">
        <v>880</v>
      </c>
      <c r="E48" s="104" t="s">
        <v>10</v>
      </c>
      <c r="F48" s="104">
        <v>318045.17</v>
      </c>
      <c r="G48" s="104">
        <v>310596</v>
      </c>
      <c r="H48" s="104"/>
      <c r="I48" s="104"/>
      <c r="J48" s="104"/>
      <c r="K48" s="104"/>
      <c r="L48" s="104"/>
      <c r="M48" s="104">
        <v>0</v>
      </c>
      <c r="N48" s="104">
        <f t="shared" si="65"/>
        <v>0</v>
      </c>
      <c r="O48" s="104">
        <v>248477</v>
      </c>
      <c r="P48" s="104">
        <v>1</v>
      </c>
      <c r="Q48" s="26">
        <v>248477</v>
      </c>
      <c r="R48" s="104">
        <v>1</v>
      </c>
      <c r="S48" s="104">
        <f t="shared" si="28"/>
        <v>248477</v>
      </c>
      <c r="T48" s="104"/>
      <c r="U48" s="26">
        <f t="shared" si="59"/>
        <v>248477</v>
      </c>
      <c r="V48" s="113">
        <f t="shared" si="59"/>
        <v>1</v>
      </c>
      <c r="W48" s="113"/>
      <c r="X48" s="113">
        <f t="shared" si="60"/>
        <v>0</v>
      </c>
      <c r="Y48" s="113">
        <v>248477</v>
      </c>
      <c r="Z48" s="113">
        <f t="shared" si="61"/>
        <v>1</v>
      </c>
      <c r="AA48" s="118">
        <v>-248477</v>
      </c>
      <c r="AB48" s="122"/>
      <c r="AC48" s="26">
        <f t="shared" si="32"/>
        <v>0</v>
      </c>
      <c r="AD48" s="104">
        <f t="shared" si="17"/>
        <v>0</v>
      </c>
      <c r="AE48" s="104"/>
      <c r="AF48" s="104">
        <f t="shared" si="62"/>
        <v>0</v>
      </c>
      <c r="AG48" s="104"/>
      <c r="AH48" s="104">
        <f t="shared" si="63"/>
        <v>0</v>
      </c>
      <c r="AI48" s="104">
        <f t="shared" si="64"/>
        <v>0</v>
      </c>
      <c r="AJ48" s="104">
        <v>1</v>
      </c>
      <c r="AK48" s="104"/>
      <c r="AL48" s="104">
        <v>0</v>
      </c>
      <c r="AM48" s="104">
        <v>0</v>
      </c>
      <c r="AN48" s="104">
        <f t="shared" si="36"/>
        <v>-248477</v>
      </c>
      <c r="AO48" s="104"/>
      <c r="AP48" s="113">
        <f t="shared" si="66"/>
        <v>248477</v>
      </c>
      <c r="AQ48" s="113"/>
      <c r="AR48" s="34">
        <f t="shared" si="38"/>
        <v>248477</v>
      </c>
      <c r="AS48" s="10">
        <f t="shared" si="38"/>
        <v>1</v>
      </c>
      <c r="AT48" s="10"/>
      <c r="AU48" s="10">
        <f t="shared" si="39"/>
        <v>0</v>
      </c>
      <c r="AV48" s="10">
        <f>248477</f>
        <v>248477</v>
      </c>
      <c r="AW48" s="10">
        <f t="shared" si="40"/>
        <v>1</v>
      </c>
      <c r="AX48" s="10">
        <f t="shared" ref="AX48:AX53" si="68">AV48/0.8*0.2</f>
        <v>62119.25</v>
      </c>
      <c r="AY48" s="10"/>
      <c r="AZ48" s="10"/>
      <c r="BA48" s="10">
        <v>0</v>
      </c>
      <c r="BB48" s="10">
        <v>0</v>
      </c>
      <c r="BC48" s="10">
        <f t="shared" si="42"/>
        <v>0</v>
      </c>
      <c r="BD48" s="10"/>
      <c r="BE48" s="26">
        <f t="shared" si="43"/>
        <v>0</v>
      </c>
      <c r="BF48" s="104">
        <f t="shared" si="43"/>
        <v>0</v>
      </c>
      <c r="BG48" s="104"/>
      <c r="BH48" s="104">
        <f t="shared" si="44"/>
        <v>0</v>
      </c>
      <c r="BI48" s="104"/>
      <c r="BJ48" s="104">
        <f t="shared" si="45"/>
        <v>0</v>
      </c>
      <c r="BK48" s="104"/>
      <c r="BL48" s="104"/>
      <c r="BM48" s="104"/>
      <c r="BN48" s="104" t="s">
        <v>882</v>
      </c>
      <c r="BO48" s="104" t="s">
        <v>1084</v>
      </c>
      <c r="BP48" s="104" t="s">
        <v>883</v>
      </c>
      <c r="BQ48" s="104" t="s">
        <v>884</v>
      </c>
      <c r="BR48" s="104" t="s">
        <v>1550</v>
      </c>
      <c r="BS48" s="104" t="s">
        <v>885</v>
      </c>
      <c r="BT48" s="55" t="s">
        <v>1191</v>
      </c>
    </row>
    <row r="49" spans="1:77" ht="48.75" customHeight="1" outlineLevel="1" x14ac:dyDescent="0.25">
      <c r="A49" s="106"/>
      <c r="B49" s="59">
        <v>8</v>
      </c>
      <c r="C49" s="104" t="s">
        <v>889</v>
      </c>
      <c r="D49" s="104" t="s">
        <v>887</v>
      </c>
      <c r="E49" s="104" t="s">
        <v>324</v>
      </c>
      <c r="F49" s="104">
        <v>255117.46</v>
      </c>
      <c r="G49" s="104">
        <v>249207</v>
      </c>
      <c r="H49" s="104"/>
      <c r="I49" s="104"/>
      <c r="J49" s="104"/>
      <c r="K49" s="104">
        <v>1</v>
      </c>
      <c r="L49" s="104"/>
      <c r="M49" s="104">
        <v>0</v>
      </c>
      <c r="N49" s="104">
        <f t="shared" si="65"/>
        <v>0</v>
      </c>
      <c r="O49" s="104">
        <v>199366</v>
      </c>
      <c r="P49" s="104">
        <v>1</v>
      </c>
      <c r="Q49" s="26">
        <v>199366</v>
      </c>
      <c r="R49" s="104">
        <v>1</v>
      </c>
      <c r="S49" s="104">
        <f t="shared" si="28"/>
        <v>199366</v>
      </c>
      <c r="T49" s="104"/>
      <c r="U49" s="26">
        <f t="shared" si="59"/>
        <v>199366</v>
      </c>
      <c r="V49" s="113">
        <f t="shared" si="59"/>
        <v>1</v>
      </c>
      <c r="W49" s="113"/>
      <c r="X49" s="113">
        <f t="shared" si="60"/>
        <v>0</v>
      </c>
      <c r="Y49" s="113">
        <v>199366</v>
      </c>
      <c r="Z49" s="113">
        <f t="shared" si="61"/>
        <v>1</v>
      </c>
      <c r="AA49" s="118">
        <v>-199366</v>
      </c>
      <c r="AB49" s="122"/>
      <c r="AC49" s="26">
        <f t="shared" si="32"/>
        <v>0</v>
      </c>
      <c r="AD49" s="104">
        <f t="shared" si="17"/>
        <v>0</v>
      </c>
      <c r="AE49" s="104"/>
      <c r="AF49" s="104">
        <f t="shared" si="62"/>
        <v>0</v>
      </c>
      <c r="AG49" s="104"/>
      <c r="AH49" s="104">
        <f t="shared" si="63"/>
        <v>0</v>
      </c>
      <c r="AI49" s="104">
        <f t="shared" si="64"/>
        <v>0</v>
      </c>
      <c r="AJ49" s="104">
        <v>1</v>
      </c>
      <c r="AK49" s="104"/>
      <c r="AL49" s="104">
        <v>0</v>
      </c>
      <c r="AM49" s="104">
        <v>0</v>
      </c>
      <c r="AN49" s="104">
        <f t="shared" si="36"/>
        <v>-199366</v>
      </c>
      <c r="AO49" s="104"/>
      <c r="AP49" s="113">
        <f t="shared" si="66"/>
        <v>199366</v>
      </c>
      <c r="AQ49" s="113"/>
      <c r="AR49" s="34">
        <f t="shared" si="38"/>
        <v>199366</v>
      </c>
      <c r="AS49" s="10">
        <f t="shared" si="38"/>
        <v>1</v>
      </c>
      <c r="AT49" s="10">
        <v>0</v>
      </c>
      <c r="AU49" s="10">
        <f t="shared" si="39"/>
        <v>0</v>
      </c>
      <c r="AV49" s="10">
        <f>199366</f>
        <v>199366</v>
      </c>
      <c r="AW49" s="10">
        <f t="shared" si="40"/>
        <v>1</v>
      </c>
      <c r="AX49" s="10">
        <f t="shared" si="68"/>
        <v>49841.5</v>
      </c>
      <c r="AY49" s="10"/>
      <c r="AZ49" s="10"/>
      <c r="BA49" s="10">
        <v>0</v>
      </c>
      <c r="BB49" s="10">
        <v>0</v>
      </c>
      <c r="BC49" s="10">
        <f t="shared" si="42"/>
        <v>0</v>
      </c>
      <c r="BD49" s="10"/>
      <c r="BE49" s="26">
        <f t="shared" si="43"/>
        <v>0</v>
      </c>
      <c r="BF49" s="104">
        <f t="shared" si="43"/>
        <v>0</v>
      </c>
      <c r="BG49" s="104"/>
      <c r="BH49" s="104">
        <f t="shared" si="44"/>
        <v>0</v>
      </c>
      <c r="BI49" s="104"/>
      <c r="BJ49" s="104">
        <f t="shared" si="45"/>
        <v>0</v>
      </c>
      <c r="BK49" s="104"/>
      <c r="BL49" s="104"/>
      <c r="BM49" s="104"/>
      <c r="BN49" s="104" t="s">
        <v>888</v>
      </c>
      <c r="BO49" s="104" t="s">
        <v>1236</v>
      </c>
      <c r="BP49" s="104" t="s">
        <v>890</v>
      </c>
      <c r="BQ49" s="104" t="s">
        <v>891</v>
      </c>
      <c r="BR49" s="104" t="s">
        <v>1551</v>
      </c>
      <c r="BS49" s="104" t="s">
        <v>892</v>
      </c>
      <c r="BT49" s="55" t="s">
        <v>886</v>
      </c>
    </row>
    <row r="50" spans="1:77" ht="36" customHeight="1" outlineLevel="1" x14ac:dyDescent="0.25">
      <c r="A50" s="106"/>
      <c r="B50" s="59">
        <v>9</v>
      </c>
      <c r="C50" s="104" t="s">
        <v>895</v>
      </c>
      <c r="D50" s="104" t="s">
        <v>893</v>
      </c>
      <c r="E50" s="104" t="s">
        <v>10</v>
      </c>
      <c r="F50" s="104">
        <v>214182.55</v>
      </c>
      <c r="G50" s="104">
        <v>209188</v>
      </c>
      <c r="H50" s="104"/>
      <c r="I50" s="104"/>
      <c r="J50" s="104"/>
      <c r="K50" s="104"/>
      <c r="L50" s="104"/>
      <c r="M50" s="104">
        <v>0</v>
      </c>
      <c r="N50" s="104">
        <f t="shared" si="65"/>
        <v>0</v>
      </c>
      <c r="O50" s="104">
        <v>167351</v>
      </c>
      <c r="P50" s="104">
        <v>1</v>
      </c>
      <c r="Q50" s="26">
        <v>167350</v>
      </c>
      <c r="R50" s="104">
        <v>1</v>
      </c>
      <c r="S50" s="104">
        <f t="shared" si="28"/>
        <v>167350</v>
      </c>
      <c r="T50" s="104"/>
      <c r="U50" s="26">
        <f t="shared" si="59"/>
        <v>167350</v>
      </c>
      <c r="V50" s="113">
        <f t="shared" si="59"/>
        <v>1</v>
      </c>
      <c r="W50" s="113"/>
      <c r="X50" s="113">
        <f t="shared" si="60"/>
        <v>0</v>
      </c>
      <c r="Y50" s="113">
        <v>167350</v>
      </c>
      <c r="Z50" s="113">
        <f t="shared" si="61"/>
        <v>1</v>
      </c>
      <c r="AA50" s="118">
        <v>-167350</v>
      </c>
      <c r="AB50" s="122"/>
      <c r="AC50" s="26">
        <f t="shared" si="32"/>
        <v>0</v>
      </c>
      <c r="AD50" s="104">
        <f t="shared" si="17"/>
        <v>0</v>
      </c>
      <c r="AE50" s="104"/>
      <c r="AF50" s="104">
        <f t="shared" si="62"/>
        <v>0</v>
      </c>
      <c r="AG50" s="104"/>
      <c r="AH50" s="104">
        <f t="shared" si="63"/>
        <v>0</v>
      </c>
      <c r="AI50" s="104">
        <f t="shared" si="64"/>
        <v>0</v>
      </c>
      <c r="AJ50" s="104">
        <v>1</v>
      </c>
      <c r="AK50" s="104"/>
      <c r="AL50" s="104">
        <v>0</v>
      </c>
      <c r="AM50" s="104">
        <v>0</v>
      </c>
      <c r="AN50" s="104">
        <f t="shared" si="36"/>
        <v>-167350</v>
      </c>
      <c r="AO50" s="104"/>
      <c r="AP50" s="113">
        <f t="shared" si="66"/>
        <v>167350</v>
      </c>
      <c r="AQ50" s="113"/>
      <c r="AR50" s="34">
        <f t="shared" si="38"/>
        <v>167350</v>
      </c>
      <c r="AS50" s="10">
        <f t="shared" si="38"/>
        <v>1</v>
      </c>
      <c r="AT50" s="10"/>
      <c r="AU50" s="10">
        <f t="shared" si="39"/>
        <v>0</v>
      </c>
      <c r="AV50" s="10">
        <f>167350</f>
        <v>167350</v>
      </c>
      <c r="AW50" s="10">
        <f t="shared" si="40"/>
        <v>1</v>
      </c>
      <c r="AX50" s="10">
        <f t="shared" si="68"/>
        <v>41837.5</v>
      </c>
      <c r="AY50" s="10"/>
      <c r="AZ50" s="10"/>
      <c r="BA50" s="10">
        <v>0</v>
      </c>
      <c r="BB50" s="10">
        <v>0</v>
      </c>
      <c r="BC50" s="10">
        <f t="shared" si="42"/>
        <v>0</v>
      </c>
      <c r="BD50" s="10"/>
      <c r="BE50" s="26">
        <f t="shared" si="43"/>
        <v>0</v>
      </c>
      <c r="BF50" s="104">
        <f t="shared" si="43"/>
        <v>0</v>
      </c>
      <c r="BG50" s="104"/>
      <c r="BH50" s="104">
        <f t="shared" si="44"/>
        <v>0</v>
      </c>
      <c r="BI50" s="104"/>
      <c r="BJ50" s="104">
        <f t="shared" si="45"/>
        <v>0</v>
      </c>
      <c r="BK50" s="104"/>
      <c r="BL50" s="104"/>
      <c r="BM50" s="104"/>
      <c r="BN50" s="104" t="s">
        <v>894</v>
      </c>
      <c r="BO50" s="104" t="s">
        <v>1084</v>
      </c>
      <c r="BP50" s="104" t="s">
        <v>896</v>
      </c>
      <c r="BQ50" s="104" t="s">
        <v>897</v>
      </c>
      <c r="BR50" s="104" t="s">
        <v>1552</v>
      </c>
      <c r="BS50" s="104" t="s">
        <v>898</v>
      </c>
      <c r="BT50" s="55" t="s">
        <v>899</v>
      </c>
    </row>
    <row r="51" spans="1:77" ht="41.25" customHeight="1" outlineLevel="1" x14ac:dyDescent="0.25">
      <c r="A51" s="106"/>
      <c r="B51" s="59">
        <v>10</v>
      </c>
      <c r="C51" s="14" t="s">
        <v>1445</v>
      </c>
      <c r="D51" s="104" t="s">
        <v>1093</v>
      </c>
      <c r="E51" s="41">
        <v>2015</v>
      </c>
      <c r="F51" s="41">
        <v>300569.09999999998</v>
      </c>
      <c r="G51" s="104">
        <v>292240</v>
      </c>
      <c r="H51" s="104"/>
      <c r="I51" s="104"/>
      <c r="J51" s="104"/>
      <c r="K51" s="104">
        <v>1</v>
      </c>
      <c r="L51" s="104">
        <v>1</v>
      </c>
      <c r="M51" s="104">
        <v>0</v>
      </c>
      <c r="N51" s="104">
        <f t="shared" si="65"/>
        <v>0</v>
      </c>
      <c r="O51" s="104">
        <v>233792</v>
      </c>
      <c r="P51" s="104">
        <v>1</v>
      </c>
      <c r="Q51" s="26">
        <v>233792</v>
      </c>
      <c r="R51" s="104">
        <v>1</v>
      </c>
      <c r="S51" s="104">
        <f t="shared" si="28"/>
        <v>233792</v>
      </c>
      <c r="T51" s="104"/>
      <c r="U51" s="26">
        <f t="shared" si="59"/>
        <v>233792</v>
      </c>
      <c r="V51" s="113">
        <f t="shared" si="59"/>
        <v>1</v>
      </c>
      <c r="W51" s="113"/>
      <c r="X51" s="113">
        <f t="shared" si="60"/>
        <v>0</v>
      </c>
      <c r="Y51" s="113">
        <v>233792</v>
      </c>
      <c r="Z51" s="113">
        <f t="shared" si="61"/>
        <v>1</v>
      </c>
      <c r="AA51" s="118">
        <v>-233792</v>
      </c>
      <c r="AB51" s="122"/>
      <c r="AC51" s="26">
        <f t="shared" si="32"/>
        <v>0</v>
      </c>
      <c r="AD51" s="104">
        <f t="shared" si="17"/>
        <v>0</v>
      </c>
      <c r="AE51" s="104"/>
      <c r="AF51" s="104">
        <f t="shared" si="62"/>
        <v>0</v>
      </c>
      <c r="AG51" s="104"/>
      <c r="AH51" s="104">
        <f t="shared" si="63"/>
        <v>0</v>
      </c>
      <c r="AI51" s="104">
        <f t="shared" si="64"/>
        <v>0</v>
      </c>
      <c r="AJ51" s="104">
        <v>1</v>
      </c>
      <c r="AK51" s="104"/>
      <c r="AL51" s="104">
        <v>0</v>
      </c>
      <c r="AM51" s="104">
        <v>0</v>
      </c>
      <c r="AN51" s="104">
        <f t="shared" si="36"/>
        <v>-233792</v>
      </c>
      <c r="AO51" s="104"/>
      <c r="AP51" s="113">
        <f t="shared" si="66"/>
        <v>233792</v>
      </c>
      <c r="AQ51" s="113"/>
      <c r="AR51" s="34">
        <f t="shared" si="38"/>
        <v>233792</v>
      </c>
      <c r="AS51" s="10">
        <f t="shared" si="38"/>
        <v>1</v>
      </c>
      <c r="AT51" s="10">
        <v>0</v>
      </c>
      <c r="AU51" s="10">
        <f t="shared" si="39"/>
        <v>0</v>
      </c>
      <c r="AV51" s="10">
        <f>233792</f>
        <v>233792</v>
      </c>
      <c r="AW51" s="10">
        <f t="shared" si="40"/>
        <v>1</v>
      </c>
      <c r="AX51" s="10">
        <f t="shared" si="68"/>
        <v>58448</v>
      </c>
      <c r="AY51" s="10"/>
      <c r="AZ51" s="10"/>
      <c r="BA51" s="10">
        <v>0</v>
      </c>
      <c r="BB51" s="10">
        <v>0</v>
      </c>
      <c r="BC51" s="10">
        <f t="shared" si="42"/>
        <v>0</v>
      </c>
      <c r="BD51" s="10"/>
      <c r="BE51" s="26">
        <f t="shared" si="43"/>
        <v>0</v>
      </c>
      <c r="BF51" s="104">
        <f t="shared" si="43"/>
        <v>0</v>
      </c>
      <c r="BG51" s="104"/>
      <c r="BH51" s="104">
        <f t="shared" si="44"/>
        <v>0</v>
      </c>
      <c r="BI51" s="104"/>
      <c r="BJ51" s="104">
        <f t="shared" si="45"/>
        <v>0</v>
      </c>
      <c r="BK51" s="104"/>
      <c r="BL51" s="104"/>
      <c r="BM51" s="104"/>
      <c r="BN51" s="104" t="s">
        <v>1094</v>
      </c>
      <c r="BO51" s="104" t="s">
        <v>1236</v>
      </c>
      <c r="BP51" s="104" t="s">
        <v>1095</v>
      </c>
      <c r="BQ51" s="104" t="s">
        <v>1096</v>
      </c>
      <c r="BR51" s="104" t="s">
        <v>1553</v>
      </c>
      <c r="BS51" s="104" t="s">
        <v>1097</v>
      </c>
      <c r="BT51" s="55" t="s">
        <v>1098</v>
      </c>
    </row>
    <row r="52" spans="1:77" ht="47.25" customHeight="1" outlineLevel="1" x14ac:dyDescent="0.25">
      <c r="A52" s="106"/>
      <c r="B52" s="59">
        <v>11</v>
      </c>
      <c r="C52" s="14" t="s">
        <v>1446</v>
      </c>
      <c r="D52" s="104" t="s">
        <v>1255</v>
      </c>
      <c r="E52" s="41">
        <v>2015</v>
      </c>
      <c r="F52" s="41">
        <v>174257.307</v>
      </c>
      <c r="G52" s="104">
        <v>168374</v>
      </c>
      <c r="H52" s="104"/>
      <c r="I52" s="104"/>
      <c r="J52" s="104"/>
      <c r="K52" s="104">
        <v>1</v>
      </c>
      <c r="L52" s="104">
        <v>1</v>
      </c>
      <c r="M52" s="104">
        <v>0</v>
      </c>
      <c r="N52" s="104">
        <f t="shared" si="65"/>
        <v>0</v>
      </c>
      <c r="O52" s="104">
        <v>134699</v>
      </c>
      <c r="P52" s="104">
        <v>1</v>
      </c>
      <c r="Q52" s="26">
        <v>134699</v>
      </c>
      <c r="R52" s="104">
        <v>1</v>
      </c>
      <c r="S52" s="104">
        <f t="shared" si="28"/>
        <v>134699</v>
      </c>
      <c r="T52" s="104"/>
      <c r="U52" s="26">
        <f t="shared" si="59"/>
        <v>134699</v>
      </c>
      <c r="V52" s="113">
        <f t="shared" si="59"/>
        <v>1</v>
      </c>
      <c r="W52" s="113"/>
      <c r="X52" s="113">
        <f t="shared" si="60"/>
        <v>0</v>
      </c>
      <c r="Y52" s="113">
        <v>134699</v>
      </c>
      <c r="Z52" s="113">
        <f t="shared" si="61"/>
        <v>1</v>
      </c>
      <c r="AA52" s="118">
        <v>-134699</v>
      </c>
      <c r="AB52" s="122"/>
      <c r="AC52" s="26">
        <f t="shared" si="32"/>
        <v>0</v>
      </c>
      <c r="AD52" s="104">
        <f t="shared" si="17"/>
        <v>0</v>
      </c>
      <c r="AE52" s="104"/>
      <c r="AF52" s="104">
        <f t="shared" si="62"/>
        <v>0</v>
      </c>
      <c r="AG52" s="104"/>
      <c r="AH52" s="104">
        <f t="shared" si="63"/>
        <v>0</v>
      </c>
      <c r="AI52" s="104">
        <f t="shared" si="64"/>
        <v>0</v>
      </c>
      <c r="AJ52" s="104">
        <v>1</v>
      </c>
      <c r="AK52" s="104"/>
      <c r="AL52" s="104">
        <v>0</v>
      </c>
      <c r="AM52" s="104">
        <v>0</v>
      </c>
      <c r="AN52" s="104">
        <f t="shared" si="36"/>
        <v>-134699</v>
      </c>
      <c r="AO52" s="104"/>
      <c r="AP52" s="113">
        <f t="shared" si="66"/>
        <v>134699</v>
      </c>
      <c r="AQ52" s="113"/>
      <c r="AR52" s="34">
        <f t="shared" si="38"/>
        <v>134699</v>
      </c>
      <c r="AS52" s="10">
        <f t="shared" si="38"/>
        <v>1</v>
      </c>
      <c r="AT52" s="10">
        <v>0</v>
      </c>
      <c r="AU52" s="10">
        <f t="shared" si="39"/>
        <v>0</v>
      </c>
      <c r="AV52" s="10">
        <f>134699</f>
        <v>134699</v>
      </c>
      <c r="AW52" s="10">
        <f t="shared" si="40"/>
        <v>1</v>
      </c>
      <c r="AX52" s="10">
        <f t="shared" si="68"/>
        <v>33674.75</v>
      </c>
      <c r="AY52" s="10"/>
      <c r="AZ52" s="10"/>
      <c r="BA52" s="10">
        <v>0</v>
      </c>
      <c r="BB52" s="10">
        <v>0</v>
      </c>
      <c r="BC52" s="10">
        <f t="shared" si="42"/>
        <v>0</v>
      </c>
      <c r="BD52" s="10"/>
      <c r="BE52" s="26">
        <f t="shared" si="43"/>
        <v>0</v>
      </c>
      <c r="BF52" s="104">
        <f t="shared" si="43"/>
        <v>0</v>
      </c>
      <c r="BG52" s="104"/>
      <c r="BH52" s="104">
        <f t="shared" si="44"/>
        <v>0</v>
      </c>
      <c r="BI52" s="104"/>
      <c r="BJ52" s="104">
        <f t="shared" si="45"/>
        <v>0</v>
      </c>
      <c r="BK52" s="104"/>
      <c r="BL52" s="104"/>
      <c r="BM52" s="104"/>
      <c r="BN52" s="104" t="s">
        <v>1233</v>
      </c>
      <c r="BO52" s="104" t="s">
        <v>1236</v>
      </c>
      <c r="BP52" s="104" t="s">
        <v>1234</v>
      </c>
      <c r="BQ52" s="104" t="s">
        <v>1554</v>
      </c>
      <c r="BR52" s="104" t="s">
        <v>1555</v>
      </c>
      <c r="BS52" s="104" t="s">
        <v>1235</v>
      </c>
      <c r="BT52" s="55" t="s">
        <v>1237</v>
      </c>
    </row>
    <row r="53" spans="1:77" ht="45" customHeight="1" outlineLevel="1" x14ac:dyDescent="0.25">
      <c r="A53" s="106"/>
      <c r="B53" s="59">
        <v>12</v>
      </c>
      <c r="C53" s="14" t="s">
        <v>1447</v>
      </c>
      <c r="D53" s="104" t="s">
        <v>1238</v>
      </c>
      <c r="E53" s="41">
        <v>2015</v>
      </c>
      <c r="F53" s="41">
        <v>232971.6</v>
      </c>
      <c r="G53" s="104">
        <v>224189</v>
      </c>
      <c r="H53" s="104"/>
      <c r="I53" s="104"/>
      <c r="J53" s="104"/>
      <c r="K53" s="104">
        <v>1</v>
      </c>
      <c r="L53" s="104">
        <v>1</v>
      </c>
      <c r="M53" s="104">
        <v>0</v>
      </c>
      <c r="N53" s="104">
        <f t="shared" si="65"/>
        <v>0</v>
      </c>
      <c r="O53" s="104">
        <v>179351</v>
      </c>
      <c r="P53" s="104">
        <v>1</v>
      </c>
      <c r="Q53" s="26">
        <v>179351</v>
      </c>
      <c r="R53" s="104">
        <v>1</v>
      </c>
      <c r="S53" s="104">
        <f t="shared" si="28"/>
        <v>179351</v>
      </c>
      <c r="T53" s="104"/>
      <c r="U53" s="26">
        <f t="shared" si="59"/>
        <v>179351</v>
      </c>
      <c r="V53" s="113">
        <f t="shared" si="59"/>
        <v>1</v>
      </c>
      <c r="W53" s="113"/>
      <c r="X53" s="113">
        <f t="shared" si="60"/>
        <v>0</v>
      </c>
      <c r="Y53" s="113">
        <v>179351</v>
      </c>
      <c r="Z53" s="113">
        <f t="shared" si="61"/>
        <v>1</v>
      </c>
      <c r="AA53" s="118">
        <v>-179351</v>
      </c>
      <c r="AB53" s="122"/>
      <c r="AC53" s="26">
        <f t="shared" si="32"/>
        <v>0</v>
      </c>
      <c r="AD53" s="104">
        <f t="shared" si="17"/>
        <v>0</v>
      </c>
      <c r="AE53" s="104"/>
      <c r="AF53" s="104">
        <f t="shared" si="62"/>
        <v>0</v>
      </c>
      <c r="AG53" s="104"/>
      <c r="AH53" s="104">
        <f t="shared" si="63"/>
        <v>0</v>
      </c>
      <c r="AI53" s="104">
        <f t="shared" si="64"/>
        <v>0</v>
      </c>
      <c r="AJ53" s="104">
        <v>1</v>
      </c>
      <c r="AK53" s="104"/>
      <c r="AL53" s="104">
        <v>0</v>
      </c>
      <c r="AM53" s="104">
        <v>0</v>
      </c>
      <c r="AN53" s="104">
        <f t="shared" si="36"/>
        <v>-179351</v>
      </c>
      <c r="AO53" s="104"/>
      <c r="AP53" s="113">
        <f t="shared" si="66"/>
        <v>179351</v>
      </c>
      <c r="AQ53" s="113"/>
      <c r="AR53" s="34">
        <f t="shared" si="38"/>
        <v>179351</v>
      </c>
      <c r="AS53" s="10">
        <f t="shared" si="38"/>
        <v>1</v>
      </c>
      <c r="AT53" s="10">
        <v>0</v>
      </c>
      <c r="AU53" s="10">
        <f t="shared" si="39"/>
        <v>0</v>
      </c>
      <c r="AV53" s="10">
        <f>179351</f>
        <v>179351</v>
      </c>
      <c r="AW53" s="10">
        <f t="shared" si="40"/>
        <v>1</v>
      </c>
      <c r="AX53" s="10">
        <f t="shared" si="68"/>
        <v>44837.75</v>
      </c>
      <c r="AY53" s="10"/>
      <c r="AZ53" s="10"/>
      <c r="BA53" s="10">
        <v>0</v>
      </c>
      <c r="BB53" s="10">
        <v>0</v>
      </c>
      <c r="BC53" s="10">
        <f t="shared" si="42"/>
        <v>0</v>
      </c>
      <c r="BD53" s="10"/>
      <c r="BE53" s="26">
        <f t="shared" si="43"/>
        <v>0</v>
      </c>
      <c r="BF53" s="104">
        <f t="shared" si="43"/>
        <v>0</v>
      </c>
      <c r="BG53" s="104"/>
      <c r="BH53" s="104">
        <f t="shared" si="44"/>
        <v>0</v>
      </c>
      <c r="BI53" s="104"/>
      <c r="BJ53" s="104">
        <f t="shared" si="45"/>
        <v>0</v>
      </c>
      <c r="BK53" s="104"/>
      <c r="BL53" s="104"/>
      <c r="BM53" s="104"/>
      <c r="BN53" s="104" t="s">
        <v>1239</v>
      </c>
      <c r="BO53" s="104" t="s">
        <v>1236</v>
      </c>
      <c r="BP53" s="104" t="s">
        <v>1240</v>
      </c>
      <c r="BQ53" s="104" t="s">
        <v>1241</v>
      </c>
      <c r="BR53" s="104" t="s">
        <v>1556</v>
      </c>
      <c r="BS53" s="104" t="s">
        <v>1242</v>
      </c>
      <c r="BT53" s="55" t="s">
        <v>1243</v>
      </c>
    </row>
    <row r="54" spans="1:77" ht="45" customHeight="1" outlineLevel="1" x14ac:dyDescent="0.25">
      <c r="A54" s="106"/>
      <c r="B54" s="59">
        <v>13</v>
      </c>
      <c r="C54" s="14" t="s">
        <v>1448</v>
      </c>
      <c r="D54" s="104" t="s">
        <v>1244</v>
      </c>
      <c r="E54" s="41" t="s">
        <v>10</v>
      </c>
      <c r="F54" s="41">
        <v>229864</v>
      </c>
      <c r="G54" s="104">
        <v>223121</v>
      </c>
      <c r="H54" s="104"/>
      <c r="I54" s="104"/>
      <c r="J54" s="104"/>
      <c r="K54" s="104"/>
      <c r="L54" s="104"/>
      <c r="M54" s="104">
        <v>0</v>
      </c>
      <c r="N54" s="104">
        <f t="shared" si="65"/>
        <v>0</v>
      </c>
      <c r="O54" s="104">
        <v>178497</v>
      </c>
      <c r="P54" s="104">
        <v>1</v>
      </c>
      <c r="Q54" s="26">
        <v>0</v>
      </c>
      <c r="R54" s="104">
        <v>0</v>
      </c>
      <c r="S54" s="104">
        <f t="shared" si="28"/>
        <v>0</v>
      </c>
      <c r="T54" s="104"/>
      <c r="U54" s="26">
        <f t="shared" si="59"/>
        <v>0</v>
      </c>
      <c r="V54" s="113">
        <f t="shared" si="59"/>
        <v>0</v>
      </c>
      <c r="W54" s="113"/>
      <c r="X54" s="113">
        <f t="shared" si="60"/>
        <v>0</v>
      </c>
      <c r="Y54" s="113">
        <v>0</v>
      </c>
      <c r="Z54" s="113">
        <f t="shared" si="61"/>
        <v>0</v>
      </c>
      <c r="AA54" s="118">
        <v>0</v>
      </c>
      <c r="AB54" s="122"/>
      <c r="AC54" s="26">
        <f t="shared" si="32"/>
        <v>0</v>
      </c>
      <c r="AD54" s="104">
        <f t="shared" si="17"/>
        <v>0</v>
      </c>
      <c r="AE54" s="104"/>
      <c r="AF54" s="104">
        <f t="shared" si="62"/>
        <v>0</v>
      </c>
      <c r="AG54" s="104">
        <v>0</v>
      </c>
      <c r="AH54" s="104">
        <f t="shared" si="63"/>
        <v>0</v>
      </c>
      <c r="AI54" s="104">
        <f t="shared" si="64"/>
        <v>0</v>
      </c>
      <c r="AJ54" s="104"/>
      <c r="AK54" s="104"/>
      <c r="AL54" s="104">
        <v>158498</v>
      </c>
      <c r="AM54" s="104">
        <v>1</v>
      </c>
      <c r="AN54" s="104">
        <f t="shared" si="36"/>
        <v>0</v>
      </c>
      <c r="AO54" s="104"/>
      <c r="AP54" s="113">
        <f t="shared" si="66"/>
        <v>0</v>
      </c>
      <c r="AQ54" s="113"/>
      <c r="AR54" s="34">
        <f t="shared" si="38"/>
        <v>158498</v>
      </c>
      <c r="AS54" s="10">
        <f t="shared" si="38"/>
        <v>1</v>
      </c>
      <c r="AT54" s="10"/>
      <c r="AU54" s="10">
        <f t="shared" si="39"/>
        <v>0</v>
      </c>
      <c r="AV54" s="10">
        <v>158498</v>
      </c>
      <c r="AW54" s="10">
        <f t="shared" si="40"/>
        <v>1</v>
      </c>
      <c r="AX54" s="10">
        <f>AV54/0.8*0.2</f>
        <v>39624.5</v>
      </c>
      <c r="AY54" s="10">
        <v>1</v>
      </c>
      <c r="AZ54" s="10"/>
      <c r="BA54" s="10">
        <v>0</v>
      </c>
      <c r="BB54" s="10">
        <v>0</v>
      </c>
      <c r="BC54" s="10">
        <f t="shared" si="42"/>
        <v>0</v>
      </c>
      <c r="BD54" s="10"/>
      <c r="BE54" s="26">
        <f t="shared" si="43"/>
        <v>0</v>
      </c>
      <c r="BF54" s="104">
        <f t="shared" si="43"/>
        <v>0</v>
      </c>
      <c r="BG54" s="104"/>
      <c r="BH54" s="104">
        <f t="shared" si="44"/>
        <v>0</v>
      </c>
      <c r="BI54" s="104"/>
      <c r="BJ54" s="104">
        <f t="shared" si="45"/>
        <v>0</v>
      </c>
      <c r="BK54" s="104">
        <f>BG54/0.8*0.2</f>
        <v>0</v>
      </c>
      <c r="BL54" s="104"/>
      <c r="BM54" s="104"/>
      <c r="BN54" s="104" t="s">
        <v>1245</v>
      </c>
      <c r="BO54" s="104" t="s">
        <v>1236</v>
      </c>
      <c r="BP54" s="104" t="s">
        <v>1246</v>
      </c>
      <c r="BQ54" s="104" t="s">
        <v>1247</v>
      </c>
      <c r="BR54" s="104" t="s">
        <v>1557</v>
      </c>
      <c r="BS54" s="104" t="s">
        <v>1248</v>
      </c>
      <c r="BT54" s="55" t="s">
        <v>1249</v>
      </c>
    </row>
    <row r="55" spans="1:77" ht="47.25" customHeight="1" outlineLevel="1" x14ac:dyDescent="0.25">
      <c r="A55" s="106"/>
      <c r="B55" s="59">
        <v>14</v>
      </c>
      <c r="C55" s="14" t="s">
        <v>1358</v>
      </c>
      <c r="D55" s="104" t="s">
        <v>1250</v>
      </c>
      <c r="E55" s="41" t="s">
        <v>10</v>
      </c>
      <c r="F55" s="41">
        <v>366266</v>
      </c>
      <c r="G55" s="104">
        <v>357993</v>
      </c>
      <c r="H55" s="104"/>
      <c r="I55" s="104"/>
      <c r="J55" s="104"/>
      <c r="K55" s="104"/>
      <c r="L55" s="104"/>
      <c r="M55" s="104">
        <v>0</v>
      </c>
      <c r="N55" s="104">
        <f t="shared" si="65"/>
        <v>0</v>
      </c>
      <c r="O55" s="104">
        <v>286394</v>
      </c>
      <c r="P55" s="104">
        <v>1</v>
      </c>
      <c r="Q55" s="26">
        <v>0</v>
      </c>
      <c r="R55" s="104">
        <v>0</v>
      </c>
      <c r="S55" s="104">
        <f t="shared" si="28"/>
        <v>0</v>
      </c>
      <c r="T55" s="104"/>
      <c r="U55" s="26">
        <f t="shared" si="59"/>
        <v>0</v>
      </c>
      <c r="V55" s="113">
        <f t="shared" si="59"/>
        <v>0</v>
      </c>
      <c r="W55" s="113"/>
      <c r="X55" s="113">
        <f t="shared" si="60"/>
        <v>0</v>
      </c>
      <c r="Y55" s="113"/>
      <c r="Z55" s="113">
        <f t="shared" si="61"/>
        <v>0</v>
      </c>
      <c r="AA55" s="118">
        <v>0</v>
      </c>
      <c r="AB55" s="122"/>
      <c r="AC55" s="26">
        <f t="shared" si="32"/>
        <v>0</v>
      </c>
      <c r="AD55" s="104">
        <f t="shared" si="17"/>
        <v>0</v>
      </c>
      <c r="AE55" s="104"/>
      <c r="AF55" s="104">
        <f t="shared" si="62"/>
        <v>0</v>
      </c>
      <c r="AG55" s="104"/>
      <c r="AH55" s="104">
        <f t="shared" si="63"/>
        <v>0</v>
      </c>
      <c r="AI55" s="104">
        <f t="shared" si="64"/>
        <v>0</v>
      </c>
      <c r="AJ55" s="104"/>
      <c r="AK55" s="104"/>
      <c r="AL55" s="104">
        <v>286394</v>
      </c>
      <c r="AM55" s="104">
        <v>1</v>
      </c>
      <c r="AN55" s="104">
        <f t="shared" si="36"/>
        <v>0</v>
      </c>
      <c r="AO55" s="104"/>
      <c r="AP55" s="113">
        <f t="shared" si="66"/>
        <v>0</v>
      </c>
      <c r="AQ55" s="113"/>
      <c r="AR55" s="34">
        <f t="shared" si="38"/>
        <v>286394</v>
      </c>
      <c r="AS55" s="10">
        <f t="shared" si="38"/>
        <v>1</v>
      </c>
      <c r="AT55" s="10"/>
      <c r="AU55" s="10">
        <f t="shared" si="39"/>
        <v>0</v>
      </c>
      <c r="AV55" s="10">
        <v>286394</v>
      </c>
      <c r="AW55" s="10">
        <f t="shared" si="40"/>
        <v>1</v>
      </c>
      <c r="AX55" s="10">
        <f>AV55/0.8*0.2</f>
        <v>71598.5</v>
      </c>
      <c r="AY55" s="10">
        <v>1</v>
      </c>
      <c r="AZ55" s="10"/>
      <c r="BA55" s="10">
        <v>0</v>
      </c>
      <c r="BB55" s="10">
        <v>0</v>
      </c>
      <c r="BC55" s="10">
        <f t="shared" si="42"/>
        <v>0</v>
      </c>
      <c r="BD55" s="10"/>
      <c r="BE55" s="26">
        <f t="shared" si="43"/>
        <v>0</v>
      </c>
      <c r="BF55" s="104">
        <f t="shared" si="43"/>
        <v>0</v>
      </c>
      <c r="BG55" s="104"/>
      <c r="BH55" s="104">
        <f t="shared" si="44"/>
        <v>0</v>
      </c>
      <c r="BI55" s="104"/>
      <c r="BJ55" s="104">
        <f t="shared" si="45"/>
        <v>0</v>
      </c>
      <c r="BK55" s="104"/>
      <c r="BL55" s="104"/>
      <c r="BM55" s="104"/>
      <c r="BN55" s="104" t="s">
        <v>1251</v>
      </c>
      <c r="BO55" s="104" t="s">
        <v>1084</v>
      </c>
      <c r="BP55" s="104" t="s">
        <v>1252</v>
      </c>
      <c r="BQ55" s="104" t="s">
        <v>1253</v>
      </c>
      <c r="BR55" s="104" t="s">
        <v>1558</v>
      </c>
      <c r="BS55" s="104" t="s">
        <v>1254</v>
      </c>
      <c r="BT55" s="55" t="s">
        <v>1359</v>
      </c>
    </row>
    <row r="56" spans="1:77" ht="47.25" customHeight="1" outlineLevel="1" x14ac:dyDescent="0.25">
      <c r="A56" s="106"/>
      <c r="B56" s="59">
        <v>15</v>
      </c>
      <c r="C56" s="14" t="s">
        <v>1449</v>
      </c>
      <c r="D56" s="104" t="s">
        <v>1086</v>
      </c>
      <c r="E56" s="41">
        <v>2015</v>
      </c>
      <c r="F56" s="41">
        <v>315188.2</v>
      </c>
      <c r="G56" s="104">
        <v>307585</v>
      </c>
      <c r="H56" s="104"/>
      <c r="I56" s="104"/>
      <c r="J56" s="104"/>
      <c r="K56" s="104">
        <v>1</v>
      </c>
      <c r="L56" s="104">
        <v>1</v>
      </c>
      <c r="M56" s="104">
        <v>0</v>
      </c>
      <c r="N56" s="104">
        <f t="shared" si="65"/>
        <v>0</v>
      </c>
      <c r="O56" s="104">
        <v>246068</v>
      </c>
      <c r="P56" s="104">
        <v>1</v>
      </c>
      <c r="Q56" s="26">
        <v>246068</v>
      </c>
      <c r="R56" s="104">
        <v>1</v>
      </c>
      <c r="S56" s="104">
        <f t="shared" si="28"/>
        <v>246068</v>
      </c>
      <c r="T56" s="104"/>
      <c r="U56" s="26">
        <f t="shared" si="59"/>
        <v>246068</v>
      </c>
      <c r="V56" s="113">
        <f t="shared" si="59"/>
        <v>1</v>
      </c>
      <c r="W56" s="113"/>
      <c r="X56" s="113">
        <f t="shared" si="60"/>
        <v>0</v>
      </c>
      <c r="Y56" s="113">
        <v>246068</v>
      </c>
      <c r="Z56" s="113">
        <f t="shared" si="61"/>
        <v>1</v>
      </c>
      <c r="AA56" s="118">
        <v>-246068</v>
      </c>
      <c r="AB56" s="122"/>
      <c r="AC56" s="26">
        <f t="shared" si="32"/>
        <v>0</v>
      </c>
      <c r="AD56" s="104">
        <f t="shared" si="17"/>
        <v>0</v>
      </c>
      <c r="AE56" s="104"/>
      <c r="AF56" s="104">
        <f t="shared" si="62"/>
        <v>0</v>
      </c>
      <c r="AG56" s="104"/>
      <c r="AH56" s="104">
        <f t="shared" si="63"/>
        <v>0</v>
      </c>
      <c r="AI56" s="104">
        <f t="shared" si="64"/>
        <v>0</v>
      </c>
      <c r="AJ56" s="104">
        <v>1</v>
      </c>
      <c r="AK56" s="104"/>
      <c r="AL56" s="104">
        <v>0</v>
      </c>
      <c r="AM56" s="104">
        <v>0</v>
      </c>
      <c r="AN56" s="104">
        <f t="shared" si="36"/>
        <v>-246068</v>
      </c>
      <c r="AO56" s="104"/>
      <c r="AP56" s="113">
        <f t="shared" si="66"/>
        <v>246068</v>
      </c>
      <c r="AQ56" s="113"/>
      <c r="AR56" s="34">
        <f t="shared" si="38"/>
        <v>246068</v>
      </c>
      <c r="AS56" s="10">
        <f t="shared" si="38"/>
        <v>1</v>
      </c>
      <c r="AT56" s="10">
        <v>0</v>
      </c>
      <c r="AU56" s="10">
        <f t="shared" si="39"/>
        <v>0</v>
      </c>
      <c r="AV56" s="10">
        <f>246068</f>
        <v>246068</v>
      </c>
      <c r="AW56" s="10">
        <f t="shared" si="40"/>
        <v>1</v>
      </c>
      <c r="AX56" s="10">
        <f t="shared" ref="AX56:AX57" si="69">AV56/0.8*0.2</f>
        <v>61517</v>
      </c>
      <c r="AY56" s="10"/>
      <c r="AZ56" s="10"/>
      <c r="BA56" s="10">
        <v>0</v>
      </c>
      <c r="BB56" s="10">
        <v>0</v>
      </c>
      <c r="BC56" s="10">
        <f t="shared" si="42"/>
        <v>0</v>
      </c>
      <c r="BD56" s="10"/>
      <c r="BE56" s="26">
        <f t="shared" si="43"/>
        <v>0</v>
      </c>
      <c r="BF56" s="104">
        <f t="shared" si="43"/>
        <v>0</v>
      </c>
      <c r="BG56" s="104"/>
      <c r="BH56" s="104">
        <f t="shared" si="44"/>
        <v>0</v>
      </c>
      <c r="BI56" s="104"/>
      <c r="BJ56" s="104">
        <f t="shared" si="45"/>
        <v>0</v>
      </c>
      <c r="BK56" s="104"/>
      <c r="BL56" s="104"/>
      <c r="BM56" s="104"/>
      <c r="BN56" s="104" t="s">
        <v>1080</v>
      </c>
      <c r="BO56" s="104" t="s">
        <v>1084</v>
      </c>
      <c r="BP56" s="104" t="s">
        <v>1081</v>
      </c>
      <c r="BQ56" s="104" t="s">
        <v>1082</v>
      </c>
      <c r="BR56" s="104" t="s">
        <v>1559</v>
      </c>
      <c r="BS56" s="104" t="s">
        <v>1083</v>
      </c>
      <c r="BT56" s="55" t="s">
        <v>1085</v>
      </c>
    </row>
    <row r="57" spans="1:77" ht="45.75" customHeight="1" outlineLevel="1" x14ac:dyDescent="0.25">
      <c r="A57" s="106"/>
      <c r="B57" s="59">
        <v>16</v>
      </c>
      <c r="C57" s="14" t="s">
        <v>1450</v>
      </c>
      <c r="D57" s="104" t="s">
        <v>1087</v>
      </c>
      <c r="E57" s="41">
        <v>2015</v>
      </c>
      <c r="F57" s="41">
        <v>266249.7</v>
      </c>
      <c r="G57" s="104">
        <v>259632</v>
      </c>
      <c r="H57" s="104"/>
      <c r="I57" s="104"/>
      <c r="J57" s="104"/>
      <c r="K57" s="104">
        <v>1</v>
      </c>
      <c r="L57" s="104">
        <v>1</v>
      </c>
      <c r="M57" s="104">
        <v>0</v>
      </c>
      <c r="N57" s="104">
        <f t="shared" si="65"/>
        <v>0</v>
      </c>
      <c r="O57" s="104">
        <v>207706</v>
      </c>
      <c r="P57" s="104">
        <v>1</v>
      </c>
      <c r="Q57" s="26">
        <v>207706</v>
      </c>
      <c r="R57" s="104">
        <v>1</v>
      </c>
      <c r="S57" s="104">
        <f t="shared" si="28"/>
        <v>207706</v>
      </c>
      <c r="T57" s="104"/>
      <c r="U57" s="26">
        <f>W57+Y57</f>
        <v>207706</v>
      </c>
      <c r="V57" s="113">
        <f t="shared" si="59"/>
        <v>1</v>
      </c>
      <c r="W57" s="113"/>
      <c r="X57" s="113">
        <f t="shared" si="60"/>
        <v>0</v>
      </c>
      <c r="Y57" s="113">
        <v>207706</v>
      </c>
      <c r="Z57" s="113">
        <f t="shared" si="61"/>
        <v>1</v>
      </c>
      <c r="AA57" s="118">
        <v>-207706</v>
      </c>
      <c r="AB57" s="122"/>
      <c r="AC57" s="26">
        <f t="shared" si="32"/>
        <v>0</v>
      </c>
      <c r="AD57" s="104">
        <f t="shared" si="17"/>
        <v>0</v>
      </c>
      <c r="AE57" s="104"/>
      <c r="AF57" s="104">
        <f t="shared" si="62"/>
        <v>0</v>
      </c>
      <c r="AG57" s="104"/>
      <c r="AH57" s="104">
        <f t="shared" si="63"/>
        <v>0</v>
      </c>
      <c r="AI57" s="104">
        <f t="shared" si="64"/>
        <v>0</v>
      </c>
      <c r="AJ57" s="104">
        <v>1</v>
      </c>
      <c r="AK57" s="104"/>
      <c r="AL57" s="104">
        <v>0</v>
      </c>
      <c r="AM57" s="104">
        <v>0</v>
      </c>
      <c r="AN57" s="104">
        <f t="shared" si="36"/>
        <v>-207706</v>
      </c>
      <c r="AO57" s="104"/>
      <c r="AP57" s="113">
        <f t="shared" si="66"/>
        <v>207706</v>
      </c>
      <c r="AQ57" s="113"/>
      <c r="AR57" s="34">
        <f t="shared" si="38"/>
        <v>207706</v>
      </c>
      <c r="AS57" s="10">
        <f t="shared" si="38"/>
        <v>1</v>
      </c>
      <c r="AT57" s="10">
        <v>0</v>
      </c>
      <c r="AU57" s="10">
        <f t="shared" si="39"/>
        <v>0</v>
      </c>
      <c r="AV57" s="10">
        <f>207706</f>
        <v>207706</v>
      </c>
      <c r="AW57" s="10">
        <f t="shared" si="40"/>
        <v>1</v>
      </c>
      <c r="AX57" s="10">
        <f t="shared" si="69"/>
        <v>51926.5</v>
      </c>
      <c r="AY57" s="10"/>
      <c r="AZ57" s="10"/>
      <c r="BA57" s="10">
        <v>0</v>
      </c>
      <c r="BB57" s="10">
        <v>0</v>
      </c>
      <c r="BC57" s="10">
        <f t="shared" si="42"/>
        <v>0</v>
      </c>
      <c r="BD57" s="10"/>
      <c r="BE57" s="26">
        <f t="shared" si="43"/>
        <v>0</v>
      </c>
      <c r="BF57" s="104">
        <f t="shared" si="43"/>
        <v>0</v>
      </c>
      <c r="BG57" s="104"/>
      <c r="BH57" s="104">
        <f t="shared" si="44"/>
        <v>0</v>
      </c>
      <c r="BI57" s="104"/>
      <c r="BJ57" s="104">
        <f t="shared" si="45"/>
        <v>0</v>
      </c>
      <c r="BK57" s="104"/>
      <c r="BL57" s="104"/>
      <c r="BM57" s="104"/>
      <c r="BN57" s="104" t="s">
        <v>1088</v>
      </c>
      <c r="BO57" s="104" t="s">
        <v>1084</v>
      </c>
      <c r="BP57" s="104" t="s">
        <v>1089</v>
      </c>
      <c r="BQ57" s="104" t="s">
        <v>1090</v>
      </c>
      <c r="BR57" s="104" t="s">
        <v>1559</v>
      </c>
      <c r="BS57" s="104" t="s">
        <v>1091</v>
      </c>
      <c r="BT57" s="55" t="s">
        <v>1092</v>
      </c>
    </row>
    <row r="58" spans="1:77" ht="11.25" outlineLevel="1" x14ac:dyDescent="0.25">
      <c r="A58" s="106"/>
      <c r="B58" s="107">
        <v>1</v>
      </c>
      <c r="C58" s="11" t="s">
        <v>8</v>
      </c>
      <c r="D58" s="104"/>
      <c r="E58" s="104"/>
      <c r="F58" s="104">
        <f>F59</f>
        <v>315872.3</v>
      </c>
      <c r="G58" s="104">
        <f t="shared" ref="G58:O58" si="70">G59</f>
        <v>302785</v>
      </c>
      <c r="H58" s="104">
        <f t="shared" si="70"/>
        <v>0</v>
      </c>
      <c r="I58" s="104">
        <f t="shared" si="70"/>
        <v>0</v>
      </c>
      <c r="J58" s="104">
        <f t="shared" si="70"/>
        <v>0</v>
      </c>
      <c r="K58" s="104">
        <f t="shared" si="70"/>
        <v>0</v>
      </c>
      <c r="L58" s="104">
        <f t="shared" si="70"/>
        <v>0</v>
      </c>
      <c r="M58" s="104">
        <f t="shared" si="70"/>
        <v>0</v>
      </c>
      <c r="N58" s="104">
        <f t="shared" si="70"/>
        <v>0</v>
      </c>
      <c r="O58" s="104">
        <f t="shared" si="70"/>
        <v>242228</v>
      </c>
      <c r="P58" s="104">
        <v>1</v>
      </c>
      <c r="Q58" s="26">
        <v>242228</v>
      </c>
      <c r="R58" s="104">
        <v>1</v>
      </c>
      <c r="S58" s="104">
        <f t="shared" si="28"/>
        <v>242228</v>
      </c>
      <c r="T58" s="104"/>
      <c r="U58" s="26">
        <f>U59</f>
        <v>242228</v>
      </c>
      <c r="V58" s="113">
        <f t="shared" ref="V58:AB58" si="71">V59</f>
        <v>1</v>
      </c>
      <c r="W58" s="118">
        <f t="shared" si="71"/>
        <v>0</v>
      </c>
      <c r="X58" s="118">
        <f t="shared" si="71"/>
        <v>0</v>
      </c>
      <c r="Y58" s="118">
        <f t="shared" si="71"/>
        <v>242228</v>
      </c>
      <c r="Z58" s="118">
        <f t="shared" si="71"/>
        <v>1</v>
      </c>
      <c r="AA58" s="122">
        <f t="shared" si="71"/>
        <v>-242228</v>
      </c>
      <c r="AB58" s="122">
        <f t="shared" si="71"/>
        <v>0</v>
      </c>
      <c r="AC58" s="26">
        <f>AE58+AG58</f>
        <v>0</v>
      </c>
      <c r="AD58" s="104">
        <f t="shared" si="17"/>
        <v>0</v>
      </c>
      <c r="AE58" s="104">
        <f t="shared" ref="AE58:BM58" si="72">AE59</f>
        <v>0</v>
      </c>
      <c r="AF58" s="104">
        <f t="shared" si="72"/>
        <v>0</v>
      </c>
      <c r="AG58" s="104">
        <f t="shared" si="72"/>
        <v>0</v>
      </c>
      <c r="AH58" s="104">
        <f t="shared" si="72"/>
        <v>0</v>
      </c>
      <c r="AI58" s="104">
        <f t="shared" si="72"/>
        <v>0</v>
      </c>
      <c r="AJ58" s="113">
        <f t="shared" si="72"/>
        <v>1</v>
      </c>
      <c r="AK58" s="113">
        <f t="shared" si="72"/>
        <v>0</v>
      </c>
      <c r="AL58" s="113">
        <f t="shared" si="72"/>
        <v>0</v>
      </c>
      <c r="AM58" s="113">
        <f t="shared" si="72"/>
        <v>0</v>
      </c>
      <c r="AN58" s="113">
        <f t="shared" si="72"/>
        <v>-242228</v>
      </c>
      <c r="AO58" s="113">
        <f t="shared" si="72"/>
        <v>0</v>
      </c>
      <c r="AP58" s="113">
        <f t="shared" si="72"/>
        <v>242228</v>
      </c>
      <c r="AQ58" s="113"/>
      <c r="AR58" s="34">
        <f t="shared" si="38"/>
        <v>242228</v>
      </c>
      <c r="AS58" s="10">
        <f t="shared" ref="AS58:AX58" si="73">AS59</f>
        <v>1</v>
      </c>
      <c r="AT58" s="10">
        <f t="shared" si="73"/>
        <v>0</v>
      </c>
      <c r="AU58" s="10">
        <f t="shared" si="73"/>
        <v>0</v>
      </c>
      <c r="AV58" s="10">
        <f t="shared" si="73"/>
        <v>242228</v>
      </c>
      <c r="AW58" s="10">
        <f t="shared" si="73"/>
        <v>1</v>
      </c>
      <c r="AX58" s="10">
        <f t="shared" si="73"/>
        <v>60557</v>
      </c>
      <c r="AY58" s="10">
        <f t="shared" ref="AY58:AZ58" si="74">AU58/0.8*0.2</f>
        <v>0</v>
      </c>
      <c r="AZ58" s="10">
        <f t="shared" si="74"/>
        <v>60557</v>
      </c>
      <c r="BA58" s="10">
        <v>0</v>
      </c>
      <c r="BB58" s="10">
        <v>0</v>
      </c>
      <c r="BC58" s="10">
        <f t="shared" si="42"/>
        <v>0</v>
      </c>
      <c r="BD58" s="10"/>
      <c r="BE58" s="26">
        <f t="shared" si="72"/>
        <v>0</v>
      </c>
      <c r="BF58" s="104">
        <f t="shared" si="72"/>
        <v>0</v>
      </c>
      <c r="BG58" s="104">
        <f t="shared" si="72"/>
        <v>0</v>
      </c>
      <c r="BH58" s="104">
        <f t="shared" si="72"/>
        <v>0</v>
      </c>
      <c r="BI58" s="104">
        <f t="shared" si="72"/>
        <v>0</v>
      </c>
      <c r="BJ58" s="104">
        <f t="shared" si="72"/>
        <v>0</v>
      </c>
      <c r="BK58" s="104">
        <f t="shared" si="72"/>
        <v>0</v>
      </c>
      <c r="BL58" s="104">
        <f t="shared" si="72"/>
        <v>0</v>
      </c>
      <c r="BM58" s="104">
        <f t="shared" si="72"/>
        <v>0</v>
      </c>
      <c r="BN58" s="104"/>
      <c r="BO58" s="104"/>
      <c r="BP58" s="104"/>
      <c r="BQ58" s="104"/>
      <c r="BR58" s="104"/>
      <c r="BS58" s="104"/>
      <c r="BT58" s="55"/>
    </row>
    <row r="59" spans="1:77" ht="35.25" customHeight="1" outlineLevel="1" x14ac:dyDescent="0.25">
      <c r="A59" s="106"/>
      <c r="B59" s="59">
        <v>1</v>
      </c>
      <c r="C59" s="104" t="s">
        <v>866</v>
      </c>
      <c r="D59" s="104" t="s">
        <v>867</v>
      </c>
      <c r="E59" s="104" t="s">
        <v>324</v>
      </c>
      <c r="F59" s="104">
        <v>315872.3</v>
      </c>
      <c r="G59" s="104">
        <v>302785</v>
      </c>
      <c r="H59" s="104"/>
      <c r="I59" s="104"/>
      <c r="J59" s="104"/>
      <c r="K59" s="104"/>
      <c r="L59" s="104"/>
      <c r="M59" s="104">
        <v>0</v>
      </c>
      <c r="N59" s="104">
        <f>AC59+AI59</f>
        <v>0</v>
      </c>
      <c r="O59" s="104">
        <v>242228</v>
      </c>
      <c r="P59" s="104">
        <v>1</v>
      </c>
      <c r="Q59" s="26">
        <v>242228</v>
      </c>
      <c r="R59" s="104">
        <v>1</v>
      </c>
      <c r="S59" s="104">
        <f t="shared" si="28"/>
        <v>242228</v>
      </c>
      <c r="T59" s="104"/>
      <c r="U59" s="26">
        <f t="shared" ref="U59:V59" si="75">W59+Y59</f>
        <v>242228</v>
      </c>
      <c r="V59" s="113">
        <f t="shared" si="75"/>
        <v>1</v>
      </c>
      <c r="W59" s="113"/>
      <c r="X59" s="113">
        <f t="shared" ref="X59" si="76">IF(W59,1,0)</f>
        <v>0</v>
      </c>
      <c r="Y59" s="113">
        <v>242228</v>
      </c>
      <c r="Z59" s="113">
        <f t="shared" ref="Z59" si="77">IF(Y59,1,0)</f>
        <v>1</v>
      </c>
      <c r="AA59" s="118">
        <v>-242228</v>
      </c>
      <c r="AB59" s="122"/>
      <c r="AC59" s="26">
        <f t="shared" si="32"/>
        <v>0</v>
      </c>
      <c r="AD59" s="104">
        <f t="shared" si="17"/>
        <v>0</v>
      </c>
      <c r="AE59" s="104"/>
      <c r="AF59" s="104">
        <f t="shared" ref="AF59" si="78">IF(AE59,1,0)</f>
        <v>0</v>
      </c>
      <c r="AG59" s="104"/>
      <c r="AH59" s="104">
        <f t="shared" ref="AH59" si="79">IF(AG59,1,0)</f>
        <v>0</v>
      </c>
      <c r="AI59" s="104">
        <f>AC59/0.8*0.2</f>
        <v>0</v>
      </c>
      <c r="AJ59" s="104">
        <v>1</v>
      </c>
      <c r="AK59" s="104"/>
      <c r="AL59" s="104">
        <v>0</v>
      </c>
      <c r="AM59" s="104">
        <v>0</v>
      </c>
      <c r="AN59" s="104">
        <f t="shared" si="36"/>
        <v>-242228</v>
      </c>
      <c r="AO59" s="104"/>
      <c r="AP59" s="113">
        <f t="shared" si="66"/>
        <v>242228</v>
      </c>
      <c r="AQ59" s="113"/>
      <c r="AR59" s="34">
        <f t="shared" si="38"/>
        <v>242228</v>
      </c>
      <c r="AS59" s="10">
        <f t="shared" si="38"/>
        <v>1</v>
      </c>
      <c r="AT59" s="10">
        <v>0</v>
      </c>
      <c r="AU59" s="10">
        <f t="shared" si="39"/>
        <v>0</v>
      </c>
      <c r="AV59" s="10">
        <f>242228</f>
        <v>242228</v>
      </c>
      <c r="AW59" s="10">
        <f t="shared" si="40"/>
        <v>1</v>
      </c>
      <c r="AX59" s="10">
        <f>AR59/0.8*0.2</f>
        <v>60557</v>
      </c>
      <c r="AY59" s="10"/>
      <c r="AZ59" s="10"/>
      <c r="BA59" s="10">
        <v>0</v>
      </c>
      <c r="BB59" s="10">
        <v>0</v>
      </c>
      <c r="BC59" s="10">
        <f t="shared" si="42"/>
        <v>0</v>
      </c>
      <c r="BD59" s="10"/>
      <c r="BE59" s="26">
        <f t="shared" si="43"/>
        <v>0</v>
      </c>
      <c r="BF59" s="104">
        <f t="shared" si="43"/>
        <v>0</v>
      </c>
      <c r="BG59" s="104"/>
      <c r="BH59" s="104">
        <f t="shared" si="44"/>
        <v>0</v>
      </c>
      <c r="BI59" s="104"/>
      <c r="BJ59" s="104">
        <f t="shared" si="45"/>
        <v>0</v>
      </c>
      <c r="BK59" s="104"/>
      <c r="BL59" s="104"/>
      <c r="BM59" s="104"/>
      <c r="BN59" s="104" t="s">
        <v>868</v>
      </c>
      <c r="BO59" s="104" t="s">
        <v>403</v>
      </c>
      <c r="BP59" s="104" t="s">
        <v>872</v>
      </c>
      <c r="BQ59" s="104" t="s">
        <v>870</v>
      </c>
      <c r="BR59" s="104" t="s">
        <v>871</v>
      </c>
      <c r="BS59" s="104" t="s">
        <v>869</v>
      </c>
      <c r="BT59" s="55" t="s">
        <v>873</v>
      </c>
    </row>
    <row r="60" spans="1:77" s="35" customFormat="1" ht="11.25" x14ac:dyDescent="0.25">
      <c r="A60" s="48"/>
      <c r="B60" s="57">
        <v>30</v>
      </c>
      <c r="C60" s="26" t="s">
        <v>1305</v>
      </c>
      <c r="D60" s="26"/>
      <c r="E60" s="26"/>
      <c r="F60" s="27">
        <f>F61+F91</f>
        <v>16455069.986999998</v>
      </c>
      <c r="G60" s="27">
        <f>G61+G91</f>
        <v>15874916</v>
      </c>
      <c r="H60" s="27">
        <f>H61</f>
        <v>3790818</v>
      </c>
      <c r="I60" s="27">
        <f>I61</f>
        <v>466916</v>
      </c>
      <c r="J60" s="27"/>
      <c r="K60" s="27"/>
      <c r="L60" s="27"/>
      <c r="M60" s="27">
        <f>M61+M91</f>
        <v>2808743</v>
      </c>
      <c r="N60" s="27">
        <f>N61+N91</f>
        <v>1283235.5555555555</v>
      </c>
      <c r="O60" s="27">
        <v>10535698.333333332</v>
      </c>
      <c r="P60" s="27">
        <v>38</v>
      </c>
      <c r="Q60" s="27">
        <v>3109598</v>
      </c>
      <c r="R60" s="26">
        <v>14</v>
      </c>
      <c r="S60" s="27">
        <f>S61+S91</f>
        <v>2121550</v>
      </c>
      <c r="T60" s="27">
        <f>T61+T91</f>
        <v>0</v>
      </c>
      <c r="U60" s="27">
        <f t="shared" ref="U60:V60" si="80">U61+U91</f>
        <v>3109598</v>
      </c>
      <c r="V60" s="27">
        <f t="shared" si="80"/>
        <v>14</v>
      </c>
      <c r="W60" s="27">
        <f t="shared" ref="W60:Y60" si="81">W61+W91</f>
        <v>907470</v>
      </c>
      <c r="X60" s="27">
        <f t="shared" si="81"/>
        <v>4</v>
      </c>
      <c r="Y60" s="27">
        <f t="shared" si="81"/>
        <v>2202128</v>
      </c>
      <c r="Z60" s="27">
        <f t="shared" ref="Z60:AB60" si="82">Z61+Z91</f>
        <v>10</v>
      </c>
      <c r="AA60" s="27">
        <f t="shared" si="82"/>
        <v>-2152128</v>
      </c>
      <c r="AB60" s="27">
        <f t="shared" si="82"/>
        <v>197442</v>
      </c>
      <c r="AC60" s="27">
        <f>AC61+AC91</f>
        <v>1154912</v>
      </c>
      <c r="AD60" s="26">
        <f t="shared" si="17"/>
        <v>8</v>
      </c>
      <c r="AE60" s="27">
        <f>AE61+AE91</f>
        <v>1104912</v>
      </c>
      <c r="AF60" s="27">
        <f>AF61+AF91</f>
        <v>7</v>
      </c>
      <c r="AG60" s="27">
        <f>AG61+AG91</f>
        <v>50000</v>
      </c>
      <c r="AH60" s="27">
        <f>AH61+AH91</f>
        <v>1</v>
      </c>
      <c r="AI60" s="27">
        <f>AI61+AI91</f>
        <v>128323.55555555556</v>
      </c>
      <c r="AJ60" s="27">
        <f t="shared" ref="AJ60:AQ60" si="83">AJ61+AJ91</f>
        <v>9</v>
      </c>
      <c r="AK60" s="27">
        <f t="shared" si="83"/>
        <v>5</v>
      </c>
      <c r="AL60" s="27">
        <f t="shared" si="83"/>
        <v>7749837</v>
      </c>
      <c r="AM60" s="27">
        <f t="shared" si="83"/>
        <v>21</v>
      </c>
      <c r="AN60" s="27">
        <f t="shared" si="83"/>
        <v>-1810057</v>
      </c>
      <c r="AO60" s="27">
        <f t="shared" si="83"/>
        <v>0</v>
      </c>
      <c r="AP60" s="27">
        <f t="shared" si="83"/>
        <v>1954686</v>
      </c>
      <c r="AQ60" s="27">
        <f t="shared" si="83"/>
        <v>0</v>
      </c>
      <c r="AR60" s="27">
        <f t="shared" ref="AR60:AZ60" si="84">AR61+AR91</f>
        <v>9559894</v>
      </c>
      <c r="AS60" s="27">
        <f t="shared" si="84"/>
        <v>29</v>
      </c>
      <c r="AT60" s="27">
        <f t="shared" si="84"/>
        <v>3187532</v>
      </c>
      <c r="AU60" s="27">
        <f t="shared" si="84"/>
        <v>8</v>
      </c>
      <c r="AV60" s="27">
        <f t="shared" si="84"/>
        <v>6372362</v>
      </c>
      <c r="AW60" s="27">
        <f t="shared" si="84"/>
        <v>21</v>
      </c>
      <c r="AX60" s="27">
        <f t="shared" si="84"/>
        <v>1009943.4444444446</v>
      </c>
      <c r="AY60" s="27">
        <f t="shared" si="84"/>
        <v>16</v>
      </c>
      <c r="AZ60" s="27">
        <f t="shared" si="84"/>
        <v>5</v>
      </c>
      <c r="BA60" s="27">
        <v>2818489</v>
      </c>
      <c r="BB60" s="27">
        <v>11</v>
      </c>
      <c r="BC60" s="34">
        <f t="shared" si="42"/>
        <v>1505605</v>
      </c>
      <c r="BD60" s="27"/>
      <c r="BE60" s="27">
        <f t="shared" ref="BE60:BT60" si="85">BE61+BE91</f>
        <v>1312884</v>
      </c>
      <c r="BF60" s="27">
        <f t="shared" si="85"/>
        <v>5</v>
      </c>
      <c r="BG60" s="27">
        <f t="shared" si="85"/>
        <v>1312884</v>
      </c>
      <c r="BH60" s="27">
        <f t="shared" si="85"/>
        <v>5</v>
      </c>
      <c r="BI60" s="27">
        <f t="shared" si="85"/>
        <v>0</v>
      </c>
      <c r="BJ60" s="27">
        <f t="shared" si="85"/>
        <v>0</v>
      </c>
      <c r="BK60" s="27">
        <f t="shared" si="85"/>
        <v>145877</v>
      </c>
      <c r="BL60" s="27">
        <f t="shared" si="85"/>
        <v>5</v>
      </c>
      <c r="BM60" s="27">
        <f t="shared" si="85"/>
        <v>0</v>
      </c>
      <c r="BN60" s="27">
        <f t="shared" si="85"/>
        <v>0</v>
      </c>
      <c r="BO60" s="27">
        <f t="shared" si="85"/>
        <v>0</v>
      </c>
      <c r="BP60" s="27">
        <f t="shared" si="85"/>
        <v>0</v>
      </c>
      <c r="BQ60" s="27">
        <f t="shared" si="85"/>
        <v>0</v>
      </c>
      <c r="BR60" s="27">
        <f t="shared" si="85"/>
        <v>0</v>
      </c>
      <c r="BS60" s="27">
        <f t="shared" si="85"/>
        <v>0</v>
      </c>
      <c r="BT60" s="61">
        <f t="shared" si="85"/>
        <v>0</v>
      </c>
      <c r="BU60" s="25"/>
      <c r="BV60" s="25"/>
      <c r="BW60" s="25"/>
      <c r="BX60" s="25"/>
      <c r="BY60" s="25"/>
    </row>
    <row r="61" spans="1:77" s="3" customFormat="1" ht="11.25" outlineLevel="1" x14ac:dyDescent="0.25">
      <c r="A61" s="106"/>
      <c r="B61" s="107">
        <v>26</v>
      </c>
      <c r="C61" s="11" t="s">
        <v>7</v>
      </c>
      <c r="D61" s="104"/>
      <c r="E61" s="104"/>
      <c r="F61" s="104">
        <f>SUM(F62:F90)</f>
        <v>13676200.986999998</v>
      </c>
      <c r="G61" s="104">
        <f>SUM(G62:G90)</f>
        <v>13186209</v>
      </c>
      <c r="H61" s="104">
        <f>H62+H63+H64+H65</f>
        <v>3790818</v>
      </c>
      <c r="I61" s="104">
        <f>I62+I63+I64+I65</f>
        <v>466916</v>
      </c>
      <c r="J61" s="104"/>
      <c r="K61" s="104"/>
      <c r="L61" s="104"/>
      <c r="M61" s="104">
        <f>SUM(M62:M90)</f>
        <v>2808743</v>
      </c>
      <c r="N61" s="104">
        <f>SUM(N62:N90)</f>
        <v>1227680</v>
      </c>
      <c r="O61" s="104">
        <v>8462743.3333333321</v>
      </c>
      <c r="P61" s="104">
        <v>33</v>
      </c>
      <c r="Q61" s="26">
        <v>2259279</v>
      </c>
      <c r="R61" s="104">
        <v>10</v>
      </c>
      <c r="S61" s="26">
        <f t="shared" ref="S61:AI61" si="86">SUM(S62:S90)</f>
        <v>1321231</v>
      </c>
      <c r="T61" s="26">
        <f t="shared" si="86"/>
        <v>0</v>
      </c>
      <c r="U61" s="26">
        <f t="shared" ref="U61:V61" si="87">SUM(U62:U90)</f>
        <v>2259279</v>
      </c>
      <c r="V61" s="26">
        <f t="shared" si="87"/>
        <v>10</v>
      </c>
      <c r="W61" s="26">
        <f t="shared" ref="W61:Y61" si="88">SUM(W62:W90)</f>
        <v>907470</v>
      </c>
      <c r="X61" s="26">
        <f t="shared" si="88"/>
        <v>4</v>
      </c>
      <c r="Y61" s="26">
        <f t="shared" si="88"/>
        <v>1351809</v>
      </c>
      <c r="Z61" s="26">
        <f t="shared" ref="Z61:AB61" si="89">SUM(Z62:Z90)</f>
        <v>6</v>
      </c>
      <c r="AA61" s="26">
        <f t="shared" si="89"/>
        <v>-1351809</v>
      </c>
      <c r="AB61" s="26">
        <f t="shared" si="89"/>
        <v>197442</v>
      </c>
      <c r="AC61" s="26">
        <f t="shared" si="86"/>
        <v>1104912</v>
      </c>
      <c r="AD61" s="104">
        <f t="shared" si="86"/>
        <v>7</v>
      </c>
      <c r="AE61" s="104">
        <f>SUM(AE62:AE90)</f>
        <v>1104912</v>
      </c>
      <c r="AF61" s="104">
        <f t="shared" si="86"/>
        <v>7</v>
      </c>
      <c r="AG61" s="104">
        <f t="shared" si="86"/>
        <v>0</v>
      </c>
      <c r="AH61" s="104">
        <f t="shared" si="86"/>
        <v>0</v>
      </c>
      <c r="AI61" s="104">
        <f t="shared" si="86"/>
        <v>122768</v>
      </c>
      <c r="AJ61" s="113">
        <f t="shared" ref="AJ61:AQ61" si="90">SUM(AJ62:AJ90)</f>
        <v>7</v>
      </c>
      <c r="AK61" s="113">
        <f t="shared" si="90"/>
        <v>3</v>
      </c>
      <c r="AL61" s="113">
        <f t="shared" si="90"/>
        <v>6180320</v>
      </c>
      <c r="AM61" s="113">
        <f t="shared" si="90"/>
        <v>19</v>
      </c>
      <c r="AN61" s="113">
        <f t="shared" si="90"/>
        <v>-959738</v>
      </c>
      <c r="AO61" s="113">
        <f t="shared" si="90"/>
        <v>0</v>
      </c>
      <c r="AP61" s="113">
        <f t="shared" si="90"/>
        <v>1154367</v>
      </c>
      <c r="AQ61" s="113">
        <f t="shared" si="90"/>
        <v>0</v>
      </c>
      <c r="AR61" s="26">
        <f t="shared" ref="AR61:AZ61" si="91">SUM(AR62:AR90)</f>
        <v>7140058</v>
      </c>
      <c r="AS61" s="104">
        <f t="shared" si="91"/>
        <v>25</v>
      </c>
      <c r="AT61" s="104">
        <f t="shared" si="91"/>
        <v>3187532</v>
      </c>
      <c r="AU61" s="104">
        <f t="shared" si="91"/>
        <v>8</v>
      </c>
      <c r="AV61" s="104">
        <f t="shared" si="91"/>
        <v>3952526</v>
      </c>
      <c r="AW61" s="104">
        <f t="shared" si="91"/>
        <v>17</v>
      </c>
      <c r="AX61" s="104">
        <f t="shared" si="91"/>
        <v>763294.33333333349</v>
      </c>
      <c r="AY61" s="104">
        <f t="shared" si="91"/>
        <v>14</v>
      </c>
      <c r="AZ61" s="104">
        <f t="shared" si="91"/>
        <v>5</v>
      </c>
      <c r="BA61" s="104">
        <v>1312884</v>
      </c>
      <c r="BB61" s="104">
        <v>5</v>
      </c>
      <c r="BC61" s="10">
        <f t="shared" si="42"/>
        <v>0</v>
      </c>
      <c r="BD61" s="104"/>
      <c r="BE61" s="26">
        <f t="shared" ref="BE61:BT61" si="92">SUM(BE62:BE90)</f>
        <v>1312884</v>
      </c>
      <c r="BF61" s="104">
        <f t="shared" si="92"/>
        <v>5</v>
      </c>
      <c r="BG61" s="104">
        <f t="shared" si="92"/>
        <v>1312884</v>
      </c>
      <c r="BH61" s="104">
        <f t="shared" si="92"/>
        <v>5</v>
      </c>
      <c r="BI61" s="104">
        <f t="shared" si="92"/>
        <v>0</v>
      </c>
      <c r="BJ61" s="104">
        <f t="shared" si="92"/>
        <v>0</v>
      </c>
      <c r="BK61" s="104">
        <f t="shared" si="92"/>
        <v>145877</v>
      </c>
      <c r="BL61" s="104">
        <f t="shared" si="92"/>
        <v>5</v>
      </c>
      <c r="BM61" s="104">
        <f t="shared" si="92"/>
        <v>0</v>
      </c>
      <c r="BN61" s="104">
        <f t="shared" si="92"/>
        <v>0</v>
      </c>
      <c r="BO61" s="104">
        <f t="shared" si="92"/>
        <v>0</v>
      </c>
      <c r="BP61" s="104">
        <f t="shared" si="92"/>
        <v>0</v>
      </c>
      <c r="BQ61" s="104">
        <f t="shared" si="92"/>
        <v>0</v>
      </c>
      <c r="BR61" s="104">
        <f t="shared" si="92"/>
        <v>0</v>
      </c>
      <c r="BS61" s="104">
        <f t="shared" si="92"/>
        <v>0</v>
      </c>
      <c r="BT61" s="55">
        <f t="shared" si="92"/>
        <v>0</v>
      </c>
    </row>
    <row r="62" spans="1:77" s="3" customFormat="1" ht="48" customHeight="1" outlineLevel="1" x14ac:dyDescent="0.25">
      <c r="A62" s="106"/>
      <c r="B62" s="59">
        <v>1</v>
      </c>
      <c r="C62" s="104" t="s">
        <v>1451</v>
      </c>
      <c r="D62" s="104" t="s">
        <v>247</v>
      </c>
      <c r="E62" s="104" t="s">
        <v>9</v>
      </c>
      <c r="F62" s="104">
        <v>225995</v>
      </c>
      <c r="G62" s="104">
        <v>216794</v>
      </c>
      <c r="H62" s="104">
        <v>216178</v>
      </c>
      <c r="I62" s="104">
        <f t="shared" ref="I62:I65" si="93">G62-H62</f>
        <v>616</v>
      </c>
      <c r="J62" s="104">
        <v>1</v>
      </c>
      <c r="K62" s="104">
        <v>1</v>
      </c>
      <c r="L62" s="104"/>
      <c r="M62" s="104">
        <v>108397</v>
      </c>
      <c r="N62" s="104">
        <f>AC62+AI62</f>
        <v>141756.66666666666</v>
      </c>
      <c r="O62" s="104">
        <v>98534</v>
      </c>
      <c r="P62" s="104">
        <v>1</v>
      </c>
      <c r="Q62" s="26">
        <v>97557</v>
      </c>
      <c r="R62" s="104">
        <v>1</v>
      </c>
      <c r="S62" s="104">
        <f t="shared" si="28"/>
        <v>-30024</v>
      </c>
      <c r="T62" s="104"/>
      <c r="U62" s="26">
        <f t="shared" ref="U62:V65" si="94">W62+Y62</f>
        <v>97003</v>
      </c>
      <c r="V62" s="113">
        <f t="shared" si="94"/>
        <v>1</v>
      </c>
      <c r="W62" s="113">
        <v>97003</v>
      </c>
      <c r="X62" s="113">
        <f t="shared" ref="X62:X65" si="95">IF(W62,1,0)</f>
        <v>1</v>
      </c>
      <c r="Y62" s="113"/>
      <c r="Z62" s="113">
        <f t="shared" ref="Z62:Z65" si="96">IF(Y62,1,0)</f>
        <v>0</v>
      </c>
      <c r="AA62" s="118"/>
      <c r="AB62" s="122">
        <v>30578</v>
      </c>
      <c r="AC62" s="26">
        <f t="shared" si="32"/>
        <v>127581</v>
      </c>
      <c r="AD62" s="104">
        <f t="shared" si="17"/>
        <v>1</v>
      </c>
      <c r="AE62" s="104">
        <f>97003+30578</f>
        <v>127581</v>
      </c>
      <c r="AF62" s="104">
        <f t="shared" ref="AF62:AF90" si="97">IF(AE62,1,0)</f>
        <v>1</v>
      </c>
      <c r="AG62" s="104"/>
      <c r="AH62" s="104">
        <f t="shared" ref="AH62:AH90" si="98">IF(AG62,1,0)</f>
        <v>0</v>
      </c>
      <c r="AI62" s="104">
        <f>AC62/0.9*0.1</f>
        <v>14175.666666666666</v>
      </c>
      <c r="AJ62" s="104">
        <v>1</v>
      </c>
      <c r="AK62" s="104"/>
      <c r="AL62" s="104">
        <v>0</v>
      </c>
      <c r="AM62" s="104">
        <v>0</v>
      </c>
      <c r="AN62" s="104">
        <f t="shared" si="36"/>
        <v>-30588</v>
      </c>
      <c r="AO62" s="104"/>
      <c r="AP62" s="113">
        <f>U62-AC62</f>
        <v>-30578</v>
      </c>
      <c r="AQ62" s="113"/>
      <c r="AR62" s="34">
        <f t="shared" si="38"/>
        <v>30588</v>
      </c>
      <c r="AS62" s="10">
        <f t="shared" si="38"/>
        <v>1</v>
      </c>
      <c r="AT62" s="10">
        <v>30588</v>
      </c>
      <c r="AU62" s="10">
        <f t="shared" si="39"/>
        <v>1</v>
      </c>
      <c r="AV62" s="10"/>
      <c r="AW62" s="10">
        <f t="shared" si="40"/>
        <v>0</v>
      </c>
      <c r="AX62" s="10">
        <f>AR62/0.9*0.1</f>
        <v>3398.6666666666665</v>
      </c>
      <c r="AY62" s="10"/>
      <c r="AZ62" s="10"/>
      <c r="BA62" s="10">
        <v>0</v>
      </c>
      <c r="BB62" s="10">
        <v>0</v>
      </c>
      <c r="BC62" s="10">
        <f t="shared" si="42"/>
        <v>0</v>
      </c>
      <c r="BD62" s="10"/>
      <c r="BE62" s="26">
        <f t="shared" si="43"/>
        <v>0</v>
      </c>
      <c r="BF62" s="104">
        <f t="shared" si="43"/>
        <v>0</v>
      </c>
      <c r="BG62" s="104"/>
      <c r="BH62" s="104">
        <f t="shared" si="44"/>
        <v>0</v>
      </c>
      <c r="BI62" s="104"/>
      <c r="BJ62" s="104">
        <f t="shared" si="45"/>
        <v>0</v>
      </c>
      <c r="BK62" s="104"/>
      <c r="BL62" s="104"/>
      <c r="BM62" s="104"/>
      <c r="BN62" s="104" t="s">
        <v>1824</v>
      </c>
      <c r="BO62" s="104" t="s">
        <v>261</v>
      </c>
      <c r="BP62" s="104" t="s">
        <v>262</v>
      </c>
      <c r="BQ62" s="104" t="s">
        <v>263</v>
      </c>
      <c r="BR62" s="104" t="s">
        <v>1360</v>
      </c>
      <c r="BS62" s="13" t="s">
        <v>264</v>
      </c>
      <c r="BT62" s="55"/>
    </row>
    <row r="63" spans="1:77" s="3" customFormat="1" ht="63.75" customHeight="1" outlineLevel="1" x14ac:dyDescent="0.25">
      <c r="A63" s="106"/>
      <c r="B63" s="59">
        <v>2</v>
      </c>
      <c r="C63" s="104" t="s">
        <v>1452</v>
      </c>
      <c r="D63" s="104" t="s">
        <v>248</v>
      </c>
      <c r="E63" s="104" t="s">
        <v>168</v>
      </c>
      <c r="F63" s="104">
        <v>3360417</v>
      </c>
      <c r="G63" s="104">
        <v>3271357</v>
      </c>
      <c r="H63" s="104">
        <v>3265636</v>
      </c>
      <c r="I63" s="104">
        <f t="shared" si="93"/>
        <v>5721</v>
      </c>
      <c r="J63" s="104">
        <v>1</v>
      </c>
      <c r="K63" s="104"/>
      <c r="L63" s="104"/>
      <c r="M63" s="104">
        <v>1687341</v>
      </c>
      <c r="N63" s="104">
        <f t="shared" ref="N63:N90" si="99">AC63+AI63</f>
        <v>487470</v>
      </c>
      <c r="O63" s="104">
        <v>1008788</v>
      </c>
      <c r="P63" s="104">
        <v>1</v>
      </c>
      <c r="Q63" s="26">
        <v>438723</v>
      </c>
      <c r="R63" s="104">
        <v>1</v>
      </c>
      <c r="S63" s="104">
        <f t="shared" si="28"/>
        <v>0</v>
      </c>
      <c r="T63" s="104"/>
      <c r="U63" s="26">
        <f t="shared" si="94"/>
        <v>438723</v>
      </c>
      <c r="V63" s="113">
        <f t="shared" si="94"/>
        <v>1</v>
      </c>
      <c r="W63" s="113">
        <v>438723</v>
      </c>
      <c r="X63" s="113">
        <f t="shared" si="95"/>
        <v>1</v>
      </c>
      <c r="Y63" s="113"/>
      <c r="Z63" s="113">
        <f t="shared" si="96"/>
        <v>0</v>
      </c>
      <c r="AA63" s="118"/>
      <c r="AB63" s="122"/>
      <c r="AC63" s="26">
        <f t="shared" si="32"/>
        <v>438723</v>
      </c>
      <c r="AD63" s="104">
        <f t="shared" si="17"/>
        <v>1</v>
      </c>
      <c r="AE63" s="104">
        <v>438723</v>
      </c>
      <c r="AF63" s="104">
        <f t="shared" si="97"/>
        <v>1</v>
      </c>
      <c r="AG63" s="104"/>
      <c r="AH63" s="104">
        <f t="shared" si="98"/>
        <v>0</v>
      </c>
      <c r="AI63" s="104">
        <f t="shared" ref="AI63:AI90" si="100">AC63/0.9*0.1</f>
        <v>48747</v>
      </c>
      <c r="AJ63" s="104"/>
      <c r="AK63" s="104">
        <v>1</v>
      </c>
      <c r="AL63" s="104">
        <v>1569491</v>
      </c>
      <c r="AM63" s="104">
        <v>1</v>
      </c>
      <c r="AN63" s="104">
        <f t="shared" si="36"/>
        <v>449026</v>
      </c>
      <c r="AO63" s="104"/>
      <c r="AP63" s="113">
        <f t="shared" ref="AP63:AP95" si="101">U63-AC63</f>
        <v>0</v>
      </c>
      <c r="AQ63" s="113"/>
      <c r="AR63" s="34">
        <f t="shared" si="38"/>
        <v>1120465</v>
      </c>
      <c r="AS63" s="10">
        <f t="shared" si="38"/>
        <v>1</v>
      </c>
      <c r="AT63" s="10">
        <f>981742+138723</f>
        <v>1120465</v>
      </c>
      <c r="AU63" s="10">
        <v>1</v>
      </c>
      <c r="AV63" s="10"/>
      <c r="AW63" s="10">
        <f t="shared" si="40"/>
        <v>0</v>
      </c>
      <c r="AX63" s="10">
        <f>AR63/0.9*0.1</f>
        <v>124496.11111111111</v>
      </c>
      <c r="AY63" s="10">
        <v>1</v>
      </c>
      <c r="AZ63" s="10"/>
      <c r="BA63" s="10">
        <v>0</v>
      </c>
      <c r="BB63" s="10">
        <v>0</v>
      </c>
      <c r="BC63" s="10">
        <f t="shared" si="42"/>
        <v>0</v>
      </c>
      <c r="BD63" s="10"/>
      <c r="BE63" s="26">
        <f t="shared" si="43"/>
        <v>0</v>
      </c>
      <c r="BF63" s="104">
        <f t="shared" si="43"/>
        <v>0</v>
      </c>
      <c r="BG63" s="104"/>
      <c r="BH63" s="104">
        <f t="shared" si="44"/>
        <v>0</v>
      </c>
      <c r="BI63" s="104"/>
      <c r="BJ63" s="104">
        <f t="shared" si="45"/>
        <v>0</v>
      </c>
      <c r="BK63" s="104"/>
      <c r="BL63" s="104"/>
      <c r="BM63" s="104"/>
      <c r="BN63" s="104" t="s">
        <v>1361</v>
      </c>
      <c r="BO63" s="104" t="s">
        <v>265</v>
      </c>
      <c r="BP63" s="104" t="s">
        <v>922</v>
      </c>
      <c r="BQ63" s="104" t="s">
        <v>267</v>
      </c>
      <c r="BR63" s="104" t="s">
        <v>268</v>
      </c>
      <c r="BS63" s="104" t="s">
        <v>260</v>
      </c>
      <c r="BT63" s="55" t="s">
        <v>1362</v>
      </c>
    </row>
    <row r="64" spans="1:77" s="3" customFormat="1" ht="57.75" customHeight="1" outlineLevel="1" x14ac:dyDescent="0.25">
      <c r="A64" s="106"/>
      <c r="B64" s="59">
        <v>3</v>
      </c>
      <c r="C64" s="104" t="s">
        <v>1453</v>
      </c>
      <c r="D64" s="104" t="s">
        <v>251</v>
      </c>
      <c r="E64" s="104" t="s">
        <v>9</v>
      </c>
      <c r="F64" s="104">
        <v>333462</v>
      </c>
      <c r="G64" s="104">
        <v>310359</v>
      </c>
      <c r="H64" s="104">
        <v>309004</v>
      </c>
      <c r="I64" s="104">
        <f t="shared" si="93"/>
        <v>1355</v>
      </c>
      <c r="J64" s="104">
        <v>1</v>
      </c>
      <c r="K64" s="104">
        <v>1</v>
      </c>
      <c r="L64" s="104"/>
      <c r="M64" s="104">
        <v>155179</v>
      </c>
      <c r="N64" s="104">
        <f t="shared" si="99"/>
        <v>153824.44444444444</v>
      </c>
      <c r="O64" s="104">
        <v>141059</v>
      </c>
      <c r="P64" s="104">
        <v>1</v>
      </c>
      <c r="Q64" s="26">
        <v>139662</v>
      </c>
      <c r="R64" s="104">
        <v>1</v>
      </c>
      <c r="S64" s="104">
        <f t="shared" si="28"/>
        <v>1220</v>
      </c>
      <c r="T64" s="104"/>
      <c r="U64" s="26">
        <f t="shared" si="94"/>
        <v>138442</v>
      </c>
      <c r="V64" s="113">
        <f t="shared" si="94"/>
        <v>1</v>
      </c>
      <c r="W64" s="113">
        <v>138442</v>
      </c>
      <c r="X64" s="113">
        <f t="shared" si="95"/>
        <v>1</v>
      </c>
      <c r="Y64" s="113"/>
      <c r="Z64" s="113">
        <f t="shared" si="96"/>
        <v>0</v>
      </c>
      <c r="AA64" s="118">
        <v>0</v>
      </c>
      <c r="AB64" s="122"/>
      <c r="AC64" s="26">
        <f t="shared" si="32"/>
        <v>138442</v>
      </c>
      <c r="AD64" s="104">
        <f t="shared" si="17"/>
        <v>1</v>
      </c>
      <c r="AE64" s="104">
        <v>138442</v>
      </c>
      <c r="AF64" s="104">
        <f t="shared" si="97"/>
        <v>1</v>
      </c>
      <c r="AG64" s="104"/>
      <c r="AH64" s="104">
        <f t="shared" si="98"/>
        <v>0</v>
      </c>
      <c r="AI64" s="104">
        <f t="shared" si="100"/>
        <v>15382.444444444445</v>
      </c>
      <c r="AJ64" s="104">
        <v>1</v>
      </c>
      <c r="AK64" s="104"/>
      <c r="AL64" s="104">
        <v>0</v>
      </c>
      <c r="AM64" s="104">
        <v>0</v>
      </c>
      <c r="AN64" s="104">
        <f t="shared" si="36"/>
        <v>0</v>
      </c>
      <c r="AO64" s="104"/>
      <c r="AP64" s="113">
        <f t="shared" si="101"/>
        <v>0</v>
      </c>
      <c r="AQ64" s="113"/>
      <c r="AR64" s="34">
        <f t="shared" si="38"/>
        <v>0</v>
      </c>
      <c r="AS64" s="10">
        <f t="shared" si="38"/>
        <v>0</v>
      </c>
      <c r="AT64" s="10"/>
      <c r="AU64" s="10">
        <f t="shared" si="39"/>
        <v>0</v>
      </c>
      <c r="AV64" s="10"/>
      <c r="AW64" s="10">
        <f t="shared" si="40"/>
        <v>0</v>
      </c>
      <c r="AX64" s="10">
        <f t="shared" ref="AX64:AX65" si="102">AR64/0.9*0.1</f>
        <v>0</v>
      </c>
      <c r="AY64" s="10"/>
      <c r="AZ64" s="10"/>
      <c r="BA64" s="10">
        <v>0</v>
      </c>
      <c r="BB64" s="10">
        <v>0</v>
      </c>
      <c r="BC64" s="10">
        <f t="shared" si="42"/>
        <v>0</v>
      </c>
      <c r="BD64" s="10"/>
      <c r="BE64" s="26">
        <f t="shared" si="43"/>
        <v>0</v>
      </c>
      <c r="BF64" s="104">
        <f t="shared" si="43"/>
        <v>0</v>
      </c>
      <c r="BG64" s="104"/>
      <c r="BH64" s="104">
        <f t="shared" si="44"/>
        <v>0</v>
      </c>
      <c r="BI64" s="104"/>
      <c r="BJ64" s="104">
        <f t="shared" si="45"/>
        <v>0</v>
      </c>
      <c r="BK64" s="104"/>
      <c r="BL64" s="104"/>
      <c r="BM64" s="104"/>
      <c r="BN64" s="104" t="s">
        <v>1363</v>
      </c>
      <c r="BO64" s="13" t="s">
        <v>270</v>
      </c>
      <c r="BP64" s="104" t="s">
        <v>271</v>
      </c>
      <c r="BQ64" s="104" t="s">
        <v>272</v>
      </c>
      <c r="BR64" s="104" t="s">
        <v>273</v>
      </c>
      <c r="BS64" s="13" t="s">
        <v>274</v>
      </c>
      <c r="BT64" s="55"/>
    </row>
    <row r="65" spans="1:72" s="3" customFormat="1" ht="48.75" customHeight="1" outlineLevel="1" x14ac:dyDescent="0.25">
      <c r="A65" s="106"/>
      <c r="B65" s="59">
        <v>4</v>
      </c>
      <c r="C65" s="104" t="s">
        <v>258</v>
      </c>
      <c r="D65" s="104" t="s">
        <v>259</v>
      </c>
      <c r="E65" s="104" t="s">
        <v>9</v>
      </c>
      <c r="F65" s="104">
        <v>482734</v>
      </c>
      <c r="G65" s="104">
        <v>459224</v>
      </c>
      <c r="H65" s="26"/>
      <c r="I65" s="104">
        <f t="shared" si="93"/>
        <v>459224</v>
      </c>
      <c r="J65" s="104">
        <v>1</v>
      </c>
      <c r="K65" s="104">
        <v>1</v>
      </c>
      <c r="L65" s="104"/>
      <c r="M65" s="104">
        <v>200000</v>
      </c>
      <c r="N65" s="104">
        <f t="shared" si="99"/>
        <v>259224.44444444444</v>
      </c>
      <c r="O65" s="104">
        <v>235102</v>
      </c>
      <c r="P65" s="104">
        <v>1</v>
      </c>
      <c r="Q65" s="26">
        <v>233302</v>
      </c>
      <c r="R65" s="104">
        <v>1</v>
      </c>
      <c r="S65" s="104">
        <f t="shared" si="28"/>
        <v>0</v>
      </c>
      <c r="T65" s="104"/>
      <c r="U65" s="26">
        <f t="shared" si="94"/>
        <v>233302</v>
      </c>
      <c r="V65" s="113">
        <f t="shared" si="94"/>
        <v>1</v>
      </c>
      <c r="W65" s="113">
        <v>233302</v>
      </c>
      <c r="X65" s="113">
        <f t="shared" si="95"/>
        <v>1</v>
      </c>
      <c r="Y65" s="113"/>
      <c r="Z65" s="113">
        <f t="shared" si="96"/>
        <v>0</v>
      </c>
      <c r="AA65" s="118">
        <v>0</v>
      </c>
      <c r="AB65" s="122"/>
      <c r="AC65" s="26">
        <f t="shared" si="32"/>
        <v>233302</v>
      </c>
      <c r="AD65" s="104">
        <f t="shared" si="17"/>
        <v>1</v>
      </c>
      <c r="AE65" s="104">
        <f>233302</f>
        <v>233302</v>
      </c>
      <c r="AF65" s="104">
        <f t="shared" si="97"/>
        <v>1</v>
      </c>
      <c r="AG65" s="104"/>
      <c r="AH65" s="104">
        <f t="shared" si="98"/>
        <v>0</v>
      </c>
      <c r="AI65" s="104">
        <f t="shared" si="100"/>
        <v>25922.444444444445</v>
      </c>
      <c r="AJ65" s="104">
        <v>1</v>
      </c>
      <c r="AK65" s="104"/>
      <c r="AL65" s="104">
        <v>0</v>
      </c>
      <c r="AM65" s="104">
        <v>0</v>
      </c>
      <c r="AN65" s="104">
        <f t="shared" si="36"/>
        <v>-133302</v>
      </c>
      <c r="AO65" s="104"/>
      <c r="AP65" s="113">
        <f t="shared" si="101"/>
        <v>0</v>
      </c>
      <c r="AQ65" s="113"/>
      <c r="AR65" s="34">
        <f t="shared" si="38"/>
        <v>133302</v>
      </c>
      <c r="AS65" s="10">
        <f t="shared" si="38"/>
        <v>1</v>
      </c>
      <c r="AT65" s="10">
        <f>71277+62025</f>
        <v>133302</v>
      </c>
      <c r="AU65" s="10">
        <f t="shared" si="39"/>
        <v>1</v>
      </c>
      <c r="AV65" s="10"/>
      <c r="AW65" s="10">
        <f t="shared" si="40"/>
        <v>0</v>
      </c>
      <c r="AX65" s="10">
        <f t="shared" si="102"/>
        <v>14811.333333333336</v>
      </c>
      <c r="AY65" s="10"/>
      <c r="AZ65" s="10"/>
      <c r="BA65" s="10">
        <v>0</v>
      </c>
      <c r="BB65" s="10">
        <v>0</v>
      </c>
      <c r="BC65" s="10">
        <f t="shared" si="42"/>
        <v>0</v>
      </c>
      <c r="BD65" s="10"/>
      <c r="BE65" s="26">
        <f t="shared" si="43"/>
        <v>0</v>
      </c>
      <c r="BF65" s="104">
        <f t="shared" si="43"/>
        <v>0</v>
      </c>
      <c r="BG65" s="104"/>
      <c r="BH65" s="104">
        <f t="shared" si="44"/>
        <v>0</v>
      </c>
      <c r="BI65" s="104"/>
      <c r="BJ65" s="104">
        <f t="shared" si="45"/>
        <v>0</v>
      </c>
      <c r="BK65" s="104"/>
      <c r="BL65" s="104"/>
      <c r="BM65" s="104"/>
      <c r="BN65" s="104" t="s">
        <v>398</v>
      </c>
      <c r="BO65" s="104" t="s">
        <v>400</v>
      </c>
      <c r="BP65" s="104" t="s">
        <v>923</v>
      </c>
      <c r="BQ65" s="104" t="s">
        <v>924</v>
      </c>
      <c r="BR65" s="104" t="s">
        <v>399</v>
      </c>
      <c r="BS65" s="104"/>
      <c r="BT65" s="55"/>
    </row>
    <row r="66" spans="1:72" s="3" customFormat="1" ht="48.75" customHeight="1" outlineLevel="1" x14ac:dyDescent="0.25">
      <c r="A66" s="106"/>
      <c r="B66" s="59"/>
      <c r="C66" s="111" t="s">
        <v>1932</v>
      </c>
      <c r="D66" s="104" t="s">
        <v>2065</v>
      </c>
      <c r="E66" s="104" t="s">
        <v>196</v>
      </c>
      <c r="F66" s="104">
        <v>373692</v>
      </c>
      <c r="G66" s="122">
        <v>362510</v>
      </c>
      <c r="H66" s="67"/>
      <c r="I66" s="104"/>
      <c r="J66" s="104"/>
      <c r="K66" s="104"/>
      <c r="L66" s="104"/>
      <c r="M66" s="104">
        <v>269714</v>
      </c>
      <c r="N66" s="104">
        <f t="shared" si="99"/>
        <v>91384.444444444438</v>
      </c>
      <c r="O66" s="104"/>
      <c r="P66" s="104"/>
      <c r="Q66" s="26"/>
      <c r="R66" s="104"/>
      <c r="S66" s="104"/>
      <c r="T66" s="104"/>
      <c r="U66" s="26"/>
      <c r="V66" s="113"/>
      <c r="W66" s="113"/>
      <c r="X66" s="113"/>
      <c r="Y66" s="113"/>
      <c r="Z66" s="113"/>
      <c r="AA66" s="118"/>
      <c r="AB66" s="122">
        <v>82246</v>
      </c>
      <c r="AC66" s="26">
        <f t="shared" si="32"/>
        <v>82246</v>
      </c>
      <c r="AD66" s="104">
        <f t="shared" si="17"/>
        <v>1</v>
      </c>
      <c r="AE66" s="104">
        <v>82246</v>
      </c>
      <c r="AF66" s="104">
        <f t="shared" si="97"/>
        <v>1</v>
      </c>
      <c r="AG66" s="104"/>
      <c r="AH66" s="104"/>
      <c r="AI66" s="104">
        <f t="shared" si="100"/>
        <v>9138.4444444444434</v>
      </c>
      <c r="AJ66" s="104"/>
      <c r="AK66" s="104"/>
      <c r="AL66" s="104"/>
      <c r="AM66" s="104"/>
      <c r="AN66" s="104"/>
      <c r="AO66" s="104"/>
      <c r="AP66" s="113">
        <f t="shared" si="101"/>
        <v>-82246</v>
      </c>
      <c r="AQ66" s="113"/>
      <c r="AR66" s="34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26"/>
      <c r="BF66" s="104"/>
      <c r="BG66" s="104"/>
      <c r="BH66" s="104"/>
      <c r="BI66" s="104"/>
      <c r="BJ66" s="104"/>
      <c r="BK66" s="104"/>
      <c r="BL66" s="104"/>
      <c r="BM66" s="104"/>
      <c r="BN66" s="104" t="s">
        <v>1938</v>
      </c>
      <c r="BO66" s="104" t="s">
        <v>1939</v>
      </c>
      <c r="BP66" s="104"/>
      <c r="BQ66" s="104"/>
      <c r="BR66" s="104"/>
      <c r="BS66" s="104"/>
      <c r="BT66" s="55"/>
    </row>
    <row r="67" spans="1:72" s="3" customFormat="1" ht="48.75" customHeight="1" outlineLevel="1" x14ac:dyDescent="0.25">
      <c r="A67" s="106"/>
      <c r="B67" s="59"/>
      <c r="C67" s="111" t="s">
        <v>1933</v>
      </c>
      <c r="D67" s="104" t="s">
        <v>2066</v>
      </c>
      <c r="E67" s="104" t="s">
        <v>196</v>
      </c>
      <c r="F67" s="104">
        <v>414450</v>
      </c>
      <c r="G67" s="122">
        <v>393550</v>
      </c>
      <c r="H67" s="67"/>
      <c r="I67" s="104"/>
      <c r="J67" s="104"/>
      <c r="K67" s="104"/>
      <c r="L67" s="104"/>
      <c r="M67" s="104">
        <v>302162</v>
      </c>
      <c r="N67" s="104">
        <f t="shared" si="99"/>
        <v>89495.555555555562</v>
      </c>
      <c r="O67" s="104"/>
      <c r="P67" s="104"/>
      <c r="Q67" s="26"/>
      <c r="R67" s="104"/>
      <c r="S67" s="104"/>
      <c r="T67" s="104"/>
      <c r="U67" s="26"/>
      <c r="V67" s="113"/>
      <c r="W67" s="113"/>
      <c r="X67" s="113"/>
      <c r="Y67" s="113"/>
      <c r="Z67" s="113"/>
      <c r="AA67" s="118"/>
      <c r="AB67" s="122">
        <v>80546</v>
      </c>
      <c r="AC67" s="26">
        <f t="shared" si="32"/>
        <v>80546</v>
      </c>
      <c r="AD67" s="104">
        <f t="shared" si="17"/>
        <v>1</v>
      </c>
      <c r="AE67" s="104">
        <v>80546</v>
      </c>
      <c r="AF67" s="104">
        <f t="shared" si="97"/>
        <v>1</v>
      </c>
      <c r="AG67" s="104"/>
      <c r="AH67" s="104"/>
      <c r="AI67" s="104">
        <f t="shared" si="100"/>
        <v>8949.5555555555547</v>
      </c>
      <c r="AJ67" s="104"/>
      <c r="AK67" s="104"/>
      <c r="AL67" s="104"/>
      <c r="AM67" s="104"/>
      <c r="AN67" s="104"/>
      <c r="AO67" s="104"/>
      <c r="AP67" s="113">
        <f t="shared" si="101"/>
        <v>-80546</v>
      </c>
      <c r="AQ67" s="113"/>
      <c r="AR67" s="34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26"/>
      <c r="BF67" s="104"/>
      <c r="BG67" s="104"/>
      <c r="BH67" s="104"/>
      <c r="BI67" s="104"/>
      <c r="BJ67" s="104"/>
      <c r="BK67" s="104"/>
      <c r="BL67" s="104"/>
      <c r="BM67" s="104"/>
      <c r="BN67" s="104" t="s">
        <v>1940</v>
      </c>
      <c r="BO67" s="104" t="s">
        <v>1939</v>
      </c>
      <c r="BP67" s="104"/>
      <c r="BQ67" s="104"/>
      <c r="BR67" s="104"/>
      <c r="BS67" s="104"/>
      <c r="BT67" s="55"/>
    </row>
    <row r="68" spans="1:72" s="3" customFormat="1" ht="48.75" customHeight="1" outlineLevel="1" x14ac:dyDescent="0.25">
      <c r="A68" s="106"/>
      <c r="B68" s="59"/>
      <c r="C68" s="111" t="s">
        <v>1934</v>
      </c>
      <c r="D68" s="104" t="s">
        <v>2067</v>
      </c>
      <c r="E68" s="104" t="s">
        <v>9</v>
      </c>
      <c r="F68" s="104">
        <v>97423</v>
      </c>
      <c r="G68" s="104">
        <v>90474</v>
      </c>
      <c r="H68" s="67"/>
      <c r="I68" s="104"/>
      <c r="J68" s="104"/>
      <c r="K68" s="104"/>
      <c r="L68" s="104"/>
      <c r="M68" s="104">
        <v>85950</v>
      </c>
      <c r="N68" s="104">
        <f t="shared" si="99"/>
        <v>4524.4444444444443</v>
      </c>
      <c r="O68" s="104"/>
      <c r="P68" s="104"/>
      <c r="Q68" s="26"/>
      <c r="R68" s="104"/>
      <c r="S68" s="104"/>
      <c r="T68" s="104"/>
      <c r="U68" s="26"/>
      <c r="V68" s="113"/>
      <c r="W68" s="113"/>
      <c r="X68" s="113"/>
      <c r="Y68" s="113"/>
      <c r="Z68" s="113"/>
      <c r="AA68" s="118"/>
      <c r="AB68" s="122">
        <v>4072</v>
      </c>
      <c r="AC68" s="26">
        <f t="shared" si="32"/>
        <v>4072</v>
      </c>
      <c r="AD68" s="104">
        <f t="shared" si="17"/>
        <v>1</v>
      </c>
      <c r="AE68" s="104">
        <v>4072</v>
      </c>
      <c r="AF68" s="104">
        <f t="shared" si="97"/>
        <v>1</v>
      </c>
      <c r="AG68" s="104"/>
      <c r="AH68" s="104"/>
      <c r="AI68" s="104">
        <f t="shared" si="100"/>
        <v>452.44444444444446</v>
      </c>
      <c r="AJ68" s="104"/>
      <c r="AK68" s="104"/>
      <c r="AL68" s="104"/>
      <c r="AM68" s="104"/>
      <c r="AN68" s="104"/>
      <c r="AO68" s="104"/>
      <c r="AP68" s="113">
        <f t="shared" si="101"/>
        <v>-4072</v>
      </c>
      <c r="AQ68" s="113"/>
      <c r="AR68" s="34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26"/>
      <c r="BF68" s="104"/>
      <c r="BG68" s="104"/>
      <c r="BH68" s="104"/>
      <c r="BI68" s="104"/>
      <c r="BJ68" s="104"/>
      <c r="BK68" s="104"/>
      <c r="BL68" s="104"/>
      <c r="BM68" s="104"/>
      <c r="BN68" s="104" t="s">
        <v>1941</v>
      </c>
      <c r="BO68" s="104" t="s">
        <v>1942</v>
      </c>
      <c r="BP68" s="104" t="s">
        <v>1943</v>
      </c>
      <c r="BQ68" s="104" t="s">
        <v>1944</v>
      </c>
      <c r="BR68" s="104" t="s">
        <v>1945</v>
      </c>
      <c r="BS68" s="104" t="s">
        <v>1946</v>
      </c>
      <c r="BT68" s="55"/>
    </row>
    <row r="69" spans="1:72" s="3" customFormat="1" ht="38.25" customHeight="1" outlineLevel="1" x14ac:dyDescent="0.25">
      <c r="A69" s="106"/>
      <c r="B69" s="59">
        <v>5</v>
      </c>
      <c r="C69" s="13" t="s">
        <v>249</v>
      </c>
      <c r="D69" s="13" t="s">
        <v>250</v>
      </c>
      <c r="E69" s="104" t="s">
        <v>10</v>
      </c>
      <c r="F69" s="104">
        <v>645429</v>
      </c>
      <c r="G69" s="104">
        <v>633714</v>
      </c>
      <c r="H69" s="104"/>
      <c r="I69" s="104"/>
      <c r="J69" s="104"/>
      <c r="K69" s="104"/>
      <c r="L69" s="104"/>
      <c r="M69" s="104">
        <v>0</v>
      </c>
      <c r="N69" s="104">
        <f t="shared" si="99"/>
        <v>0</v>
      </c>
      <c r="O69" s="104">
        <v>285171</v>
      </c>
      <c r="P69" s="104">
        <v>1</v>
      </c>
      <c r="Q69" s="26">
        <v>120000</v>
      </c>
      <c r="R69" s="104">
        <v>1</v>
      </c>
      <c r="S69" s="104">
        <f t="shared" si="28"/>
        <v>120000</v>
      </c>
      <c r="T69" s="104"/>
      <c r="U69" s="26">
        <f t="shared" ref="U69:V90" si="103">W69+Y69</f>
        <v>121774</v>
      </c>
      <c r="V69" s="113">
        <f t="shared" si="103"/>
        <v>1</v>
      </c>
      <c r="W69" s="113"/>
      <c r="X69" s="113">
        <f t="shared" ref="X69:X90" si="104">IF(W69,1,0)</f>
        <v>0</v>
      </c>
      <c r="Y69" s="113">
        <f>120000+1774</f>
        <v>121774</v>
      </c>
      <c r="Z69" s="113">
        <f t="shared" ref="Z69:Z90" si="105">IF(Y69,1,0)</f>
        <v>1</v>
      </c>
      <c r="AA69" s="118">
        <v>-121774</v>
      </c>
      <c r="AB69" s="122"/>
      <c r="AC69" s="26">
        <f t="shared" si="32"/>
        <v>0</v>
      </c>
      <c r="AD69" s="104">
        <f t="shared" si="17"/>
        <v>0</v>
      </c>
      <c r="AE69" s="104"/>
      <c r="AF69" s="104">
        <f t="shared" si="97"/>
        <v>0</v>
      </c>
      <c r="AG69" s="104"/>
      <c r="AH69" s="104">
        <f t="shared" si="98"/>
        <v>0</v>
      </c>
      <c r="AI69" s="104">
        <f t="shared" si="100"/>
        <v>0</v>
      </c>
      <c r="AJ69" s="104"/>
      <c r="AK69" s="104">
        <v>1</v>
      </c>
      <c r="AL69" s="104">
        <v>450343</v>
      </c>
      <c r="AM69" s="104">
        <v>1</v>
      </c>
      <c r="AN69" s="104">
        <f t="shared" si="36"/>
        <v>-120000</v>
      </c>
      <c r="AO69" s="104"/>
      <c r="AP69" s="113">
        <f t="shared" si="101"/>
        <v>121774</v>
      </c>
      <c r="AQ69" s="113"/>
      <c r="AR69" s="34">
        <f t="shared" si="38"/>
        <v>570343</v>
      </c>
      <c r="AS69" s="10">
        <f t="shared" si="38"/>
        <v>1</v>
      </c>
      <c r="AT69" s="10"/>
      <c r="AU69" s="10">
        <f t="shared" si="39"/>
        <v>0</v>
      </c>
      <c r="AV69" s="10">
        <f>448569+121774</f>
        <v>570343</v>
      </c>
      <c r="AW69" s="10">
        <f t="shared" si="40"/>
        <v>1</v>
      </c>
      <c r="AX69" s="10">
        <f>AR69/0.9*0.1</f>
        <v>63371.444444444438</v>
      </c>
      <c r="AY69" s="10">
        <v>1</v>
      </c>
      <c r="AZ69" s="10"/>
      <c r="BA69" s="10">
        <v>0</v>
      </c>
      <c r="BB69" s="10">
        <v>0</v>
      </c>
      <c r="BC69" s="10">
        <f t="shared" si="42"/>
        <v>0</v>
      </c>
      <c r="BD69" s="10"/>
      <c r="BE69" s="26">
        <f t="shared" si="43"/>
        <v>0</v>
      </c>
      <c r="BF69" s="104">
        <f t="shared" si="43"/>
        <v>0</v>
      </c>
      <c r="BG69" s="104"/>
      <c r="BH69" s="104">
        <f t="shared" si="44"/>
        <v>0</v>
      </c>
      <c r="BI69" s="104"/>
      <c r="BJ69" s="104">
        <f t="shared" si="45"/>
        <v>0</v>
      </c>
      <c r="BK69" s="104"/>
      <c r="BL69" s="104"/>
      <c r="BM69" s="104"/>
      <c r="BN69" s="13" t="s">
        <v>1365</v>
      </c>
      <c r="BO69" s="104" t="s">
        <v>1560</v>
      </c>
      <c r="BP69" s="104" t="s">
        <v>522</v>
      </c>
      <c r="BQ69" s="104" t="s">
        <v>269</v>
      </c>
      <c r="BR69" s="104" t="s">
        <v>523</v>
      </c>
      <c r="BS69" s="104" t="s">
        <v>397</v>
      </c>
      <c r="BT69" s="55" t="s">
        <v>524</v>
      </c>
    </row>
    <row r="70" spans="1:72" s="3" customFormat="1" ht="49.5" customHeight="1" outlineLevel="1" x14ac:dyDescent="0.25">
      <c r="A70" s="106"/>
      <c r="B70" s="59">
        <v>6</v>
      </c>
      <c r="C70" s="104" t="s">
        <v>252</v>
      </c>
      <c r="D70" s="104" t="s">
        <v>253</v>
      </c>
      <c r="E70" s="104" t="s">
        <v>324</v>
      </c>
      <c r="F70" s="104">
        <v>353711</v>
      </c>
      <c r="G70" s="104">
        <v>339511</v>
      </c>
      <c r="H70" s="104"/>
      <c r="I70" s="104"/>
      <c r="J70" s="104"/>
      <c r="K70" s="104">
        <v>1</v>
      </c>
      <c r="L70" s="104"/>
      <c r="M70" s="104">
        <v>0</v>
      </c>
      <c r="N70" s="104">
        <f t="shared" si="99"/>
        <v>0</v>
      </c>
      <c r="O70" s="104">
        <v>305560</v>
      </c>
      <c r="P70" s="104">
        <v>1</v>
      </c>
      <c r="Q70" s="26">
        <v>305560</v>
      </c>
      <c r="R70" s="104">
        <v>1</v>
      </c>
      <c r="S70" s="104">
        <f t="shared" si="28"/>
        <v>305560</v>
      </c>
      <c r="T70" s="104"/>
      <c r="U70" s="26">
        <f t="shared" si="103"/>
        <v>305560</v>
      </c>
      <c r="V70" s="113">
        <f t="shared" si="103"/>
        <v>1</v>
      </c>
      <c r="W70" s="113"/>
      <c r="X70" s="113">
        <f t="shared" si="104"/>
        <v>0</v>
      </c>
      <c r="Y70" s="113">
        <v>305560</v>
      </c>
      <c r="Z70" s="113">
        <f t="shared" si="105"/>
        <v>1</v>
      </c>
      <c r="AA70" s="118">
        <v>-305560</v>
      </c>
      <c r="AB70" s="122"/>
      <c r="AC70" s="26">
        <f t="shared" si="32"/>
        <v>0</v>
      </c>
      <c r="AD70" s="104">
        <f t="shared" si="17"/>
        <v>0</v>
      </c>
      <c r="AE70" s="104"/>
      <c r="AF70" s="104">
        <f t="shared" si="97"/>
        <v>0</v>
      </c>
      <c r="AG70" s="104"/>
      <c r="AH70" s="104">
        <f t="shared" si="98"/>
        <v>0</v>
      </c>
      <c r="AI70" s="104">
        <f t="shared" si="100"/>
        <v>0</v>
      </c>
      <c r="AJ70" s="104">
        <v>1</v>
      </c>
      <c r="AK70" s="104"/>
      <c r="AL70" s="104">
        <v>0</v>
      </c>
      <c r="AM70" s="104">
        <v>0</v>
      </c>
      <c r="AN70" s="104">
        <f t="shared" si="36"/>
        <v>-270399</v>
      </c>
      <c r="AO70" s="104"/>
      <c r="AP70" s="113">
        <f t="shared" si="101"/>
        <v>305560</v>
      </c>
      <c r="AQ70" s="113"/>
      <c r="AR70" s="34">
        <f t="shared" si="38"/>
        <v>270399</v>
      </c>
      <c r="AS70" s="10">
        <f t="shared" si="38"/>
        <v>1</v>
      </c>
      <c r="AT70" s="10">
        <f>235560+25000+10000-161</f>
        <v>270399</v>
      </c>
      <c r="AU70" s="10">
        <f t="shared" si="39"/>
        <v>1</v>
      </c>
      <c r="AV70" s="10">
        <v>0</v>
      </c>
      <c r="AW70" s="10">
        <f t="shared" si="40"/>
        <v>0</v>
      </c>
      <c r="AX70" s="10"/>
      <c r="AY70" s="10"/>
      <c r="AZ70" s="10"/>
      <c r="BA70" s="10">
        <v>0</v>
      </c>
      <c r="BB70" s="10">
        <v>0</v>
      </c>
      <c r="BC70" s="10">
        <f t="shared" si="42"/>
        <v>0</v>
      </c>
      <c r="BD70" s="10"/>
      <c r="BE70" s="26">
        <f t="shared" si="43"/>
        <v>0</v>
      </c>
      <c r="BF70" s="104">
        <f t="shared" si="43"/>
        <v>0</v>
      </c>
      <c r="BG70" s="104"/>
      <c r="BH70" s="104">
        <f t="shared" si="44"/>
        <v>0</v>
      </c>
      <c r="BI70" s="104"/>
      <c r="BJ70" s="104">
        <f t="shared" si="45"/>
        <v>0</v>
      </c>
      <c r="BK70" s="104"/>
      <c r="BL70" s="104"/>
      <c r="BM70" s="104"/>
      <c r="BN70" s="104" t="s">
        <v>327</v>
      </c>
      <c r="BO70" s="104" t="s">
        <v>1561</v>
      </c>
      <c r="BP70" s="104" t="s">
        <v>330</v>
      </c>
      <c r="BQ70" s="104" t="s">
        <v>328</v>
      </c>
      <c r="BR70" s="104" t="s">
        <v>329</v>
      </c>
      <c r="BS70" s="104" t="s">
        <v>410</v>
      </c>
      <c r="BT70" s="55" t="s">
        <v>525</v>
      </c>
    </row>
    <row r="71" spans="1:72" s="3" customFormat="1" ht="45.75" customHeight="1" outlineLevel="1" x14ac:dyDescent="0.25">
      <c r="A71" s="106"/>
      <c r="B71" s="59">
        <v>7</v>
      </c>
      <c r="C71" s="104" t="s">
        <v>1454</v>
      </c>
      <c r="D71" s="104" t="s">
        <v>331</v>
      </c>
      <c r="E71" s="104">
        <v>2016</v>
      </c>
      <c r="F71" s="104">
        <v>333485</v>
      </c>
      <c r="G71" s="104">
        <v>299095</v>
      </c>
      <c r="H71" s="104"/>
      <c r="I71" s="104"/>
      <c r="J71" s="104"/>
      <c r="K71" s="104"/>
      <c r="L71" s="104"/>
      <c r="M71" s="104">
        <v>0</v>
      </c>
      <c r="N71" s="104">
        <f t="shared" si="99"/>
        <v>0</v>
      </c>
      <c r="O71" s="104">
        <v>269186</v>
      </c>
      <c r="P71" s="104">
        <v>1</v>
      </c>
      <c r="Q71" s="26">
        <v>0</v>
      </c>
      <c r="R71" s="104">
        <v>0</v>
      </c>
      <c r="S71" s="104">
        <f t="shared" si="28"/>
        <v>0</v>
      </c>
      <c r="T71" s="104"/>
      <c r="U71" s="26">
        <f t="shared" si="103"/>
        <v>0</v>
      </c>
      <c r="V71" s="113">
        <f t="shared" si="103"/>
        <v>0</v>
      </c>
      <c r="W71" s="113"/>
      <c r="X71" s="113">
        <f t="shared" si="104"/>
        <v>0</v>
      </c>
      <c r="Y71" s="113"/>
      <c r="Z71" s="113">
        <f t="shared" si="105"/>
        <v>0</v>
      </c>
      <c r="AA71" s="118">
        <v>0</v>
      </c>
      <c r="AB71" s="122"/>
      <c r="AC71" s="26">
        <f t="shared" si="32"/>
        <v>0</v>
      </c>
      <c r="AD71" s="104">
        <f t="shared" si="17"/>
        <v>0</v>
      </c>
      <c r="AE71" s="104"/>
      <c r="AF71" s="104">
        <f t="shared" si="97"/>
        <v>0</v>
      </c>
      <c r="AG71" s="104"/>
      <c r="AH71" s="104">
        <f t="shared" si="98"/>
        <v>0</v>
      </c>
      <c r="AI71" s="104">
        <f t="shared" si="100"/>
        <v>0</v>
      </c>
      <c r="AJ71" s="104"/>
      <c r="AK71" s="104"/>
      <c r="AL71" s="104">
        <v>269186</v>
      </c>
      <c r="AM71" s="104">
        <v>1</v>
      </c>
      <c r="AN71" s="104">
        <f t="shared" si="36"/>
        <v>0</v>
      </c>
      <c r="AO71" s="104"/>
      <c r="AP71" s="113">
        <f t="shared" si="101"/>
        <v>0</v>
      </c>
      <c r="AQ71" s="113"/>
      <c r="AR71" s="34">
        <f t="shared" si="38"/>
        <v>269186</v>
      </c>
      <c r="AS71" s="10">
        <f t="shared" si="38"/>
        <v>1</v>
      </c>
      <c r="AT71" s="10"/>
      <c r="AU71" s="10">
        <f t="shared" si="39"/>
        <v>0</v>
      </c>
      <c r="AV71" s="10">
        <v>269186</v>
      </c>
      <c r="AW71" s="10">
        <f t="shared" si="40"/>
        <v>1</v>
      </c>
      <c r="AX71" s="10">
        <v>29909</v>
      </c>
      <c r="AY71" s="10">
        <v>1</v>
      </c>
      <c r="AZ71" s="10"/>
      <c r="BA71" s="10">
        <v>0</v>
      </c>
      <c r="BB71" s="10">
        <v>0</v>
      </c>
      <c r="BC71" s="10">
        <f t="shared" si="42"/>
        <v>0</v>
      </c>
      <c r="BD71" s="10"/>
      <c r="BE71" s="26">
        <f t="shared" si="43"/>
        <v>0</v>
      </c>
      <c r="BF71" s="104">
        <f t="shared" si="43"/>
        <v>0</v>
      </c>
      <c r="BG71" s="104"/>
      <c r="BH71" s="104">
        <f t="shared" si="44"/>
        <v>0</v>
      </c>
      <c r="BI71" s="104"/>
      <c r="BJ71" s="104">
        <f t="shared" si="45"/>
        <v>0</v>
      </c>
      <c r="BK71" s="104"/>
      <c r="BL71" s="104"/>
      <c r="BM71" s="104"/>
      <c r="BN71" s="104" t="s">
        <v>333</v>
      </c>
      <c r="BO71" s="104" t="s">
        <v>1562</v>
      </c>
      <c r="BP71" s="104" t="s">
        <v>334</v>
      </c>
      <c r="BQ71" s="104" t="s">
        <v>336</v>
      </c>
      <c r="BR71" s="104" t="s">
        <v>1563</v>
      </c>
      <c r="BS71" s="104" t="s">
        <v>335</v>
      </c>
      <c r="BT71" s="55" t="s">
        <v>1130</v>
      </c>
    </row>
    <row r="72" spans="1:72" s="3" customFormat="1" ht="55.5" customHeight="1" outlineLevel="1" x14ac:dyDescent="0.25">
      <c r="A72" s="106"/>
      <c r="B72" s="59">
        <v>8</v>
      </c>
      <c r="C72" s="104" t="s">
        <v>401</v>
      </c>
      <c r="D72" s="104" t="s">
        <v>332</v>
      </c>
      <c r="E72" s="104" t="s">
        <v>1118</v>
      </c>
      <c r="F72" s="104">
        <v>634038</v>
      </c>
      <c r="G72" s="104">
        <v>621445</v>
      </c>
      <c r="H72" s="104"/>
      <c r="I72" s="104"/>
      <c r="J72" s="104"/>
      <c r="K72" s="104"/>
      <c r="L72" s="104"/>
      <c r="M72" s="104"/>
      <c r="N72" s="104">
        <f t="shared" si="99"/>
        <v>0</v>
      </c>
      <c r="O72" s="104">
        <v>279650</v>
      </c>
      <c r="P72" s="104">
        <v>1</v>
      </c>
      <c r="Q72" s="26">
        <v>0</v>
      </c>
      <c r="R72" s="104">
        <v>0</v>
      </c>
      <c r="S72" s="104">
        <f t="shared" si="28"/>
        <v>0</v>
      </c>
      <c r="T72" s="104"/>
      <c r="U72" s="26">
        <f t="shared" si="103"/>
        <v>0</v>
      </c>
      <c r="V72" s="113">
        <f t="shared" si="103"/>
        <v>0</v>
      </c>
      <c r="W72" s="113"/>
      <c r="X72" s="113">
        <f t="shared" si="104"/>
        <v>0</v>
      </c>
      <c r="Y72" s="113">
        <v>0</v>
      </c>
      <c r="Z72" s="113">
        <f t="shared" si="105"/>
        <v>0</v>
      </c>
      <c r="AA72" s="118">
        <v>0</v>
      </c>
      <c r="AB72" s="122"/>
      <c r="AC72" s="26">
        <f t="shared" si="32"/>
        <v>0</v>
      </c>
      <c r="AD72" s="104">
        <f t="shared" si="17"/>
        <v>0</v>
      </c>
      <c r="AE72" s="104"/>
      <c r="AF72" s="104">
        <f t="shared" si="97"/>
        <v>0</v>
      </c>
      <c r="AG72" s="104">
        <v>0</v>
      </c>
      <c r="AH72" s="104">
        <f t="shared" si="98"/>
        <v>0</v>
      </c>
      <c r="AI72" s="104">
        <f t="shared" si="100"/>
        <v>0</v>
      </c>
      <c r="AJ72" s="104"/>
      <c r="AK72" s="104"/>
      <c r="AL72" s="104">
        <v>160000</v>
      </c>
      <c r="AM72" s="104">
        <v>1</v>
      </c>
      <c r="AN72" s="104">
        <f t="shared" si="36"/>
        <v>0</v>
      </c>
      <c r="AO72" s="104"/>
      <c r="AP72" s="113">
        <f t="shared" si="101"/>
        <v>0</v>
      </c>
      <c r="AQ72" s="113"/>
      <c r="AR72" s="34">
        <f t="shared" si="38"/>
        <v>160000</v>
      </c>
      <c r="AS72" s="10">
        <f t="shared" si="38"/>
        <v>1</v>
      </c>
      <c r="AT72" s="10"/>
      <c r="AU72" s="10">
        <f t="shared" si="39"/>
        <v>0</v>
      </c>
      <c r="AV72" s="10">
        <v>160000</v>
      </c>
      <c r="AW72" s="10">
        <f t="shared" si="40"/>
        <v>1</v>
      </c>
      <c r="AX72" s="10">
        <f>AV72/0.9*0.1</f>
        <v>17777.777777777777</v>
      </c>
      <c r="AY72" s="10"/>
      <c r="AZ72" s="10">
        <v>1</v>
      </c>
      <c r="BA72" s="10">
        <v>399301</v>
      </c>
      <c r="BB72" s="10">
        <v>1</v>
      </c>
      <c r="BC72" s="10">
        <f t="shared" si="42"/>
        <v>0</v>
      </c>
      <c r="BD72" s="10"/>
      <c r="BE72" s="26">
        <f t="shared" si="43"/>
        <v>399301</v>
      </c>
      <c r="BF72" s="104">
        <f t="shared" si="43"/>
        <v>1</v>
      </c>
      <c r="BG72" s="104">
        <v>399301</v>
      </c>
      <c r="BH72" s="104">
        <f t="shared" si="44"/>
        <v>1</v>
      </c>
      <c r="BI72" s="104"/>
      <c r="BJ72" s="104">
        <f t="shared" si="45"/>
        <v>0</v>
      </c>
      <c r="BK72" s="104">
        <f>BG72/0.9*0.1</f>
        <v>44366.777777777781</v>
      </c>
      <c r="BL72" s="104">
        <v>1</v>
      </c>
      <c r="BM72" s="104"/>
      <c r="BN72" s="104" t="s">
        <v>402</v>
      </c>
      <c r="BO72" s="104" t="s">
        <v>1513</v>
      </c>
      <c r="BP72" s="104" t="s">
        <v>404</v>
      </c>
      <c r="BQ72" s="104" t="s">
        <v>266</v>
      </c>
      <c r="BR72" s="104" t="s">
        <v>266</v>
      </c>
      <c r="BS72" s="104" t="s">
        <v>405</v>
      </c>
      <c r="BT72" s="55" t="s">
        <v>1134</v>
      </c>
    </row>
    <row r="73" spans="1:72" s="3" customFormat="1" ht="51" customHeight="1" outlineLevel="1" x14ac:dyDescent="0.25">
      <c r="A73" s="106"/>
      <c r="B73" s="59">
        <v>9</v>
      </c>
      <c r="C73" s="104" t="s">
        <v>254</v>
      </c>
      <c r="D73" s="104" t="s">
        <v>255</v>
      </c>
      <c r="E73" s="104">
        <v>2015</v>
      </c>
      <c r="F73" s="104">
        <v>270613</v>
      </c>
      <c r="G73" s="104">
        <v>259109</v>
      </c>
      <c r="H73" s="104"/>
      <c r="I73" s="104"/>
      <c r="J73" s="104"/>
      <c r="K73" s="104"/>
      <c r="L73" s="104"/>
      <c r="M73" s="104">
        <v>0</v>
      </c>
      <c r="N73" s="104">
        <f t="shared" si="99"/>
        <v>0</v>
      </c>
      <c r="O73" s="104">
        <v>116599</v>
      </c>
      <c r="P73" s="104">
        <v>1</v>
      </c>
      <c r="Q73" s="26">
        <v>233198</v>
      </c>
      <c r="R73" s="104">
        <v>1</v>
      </c>
      <c r="S73" s="104">
        <f t="shared" si="28"/>
        <v>233198</v>
      </c>
      <c r="T73" s="104"/>
      <c r="U73" s="26">
        <f t="shared" si="103"/>
        <v>233198</v>
      </c>
      <c r="V73" s="113">
        <f t="shared" si="103"/>
        <v>1</v>
      </c>
      <c r="W73" s="113"/>
      <c r="X73" s="113">
        <f t="shared" si="104"/>
        <v>0</v>
      </c>
      <c r="Y73" s="113">
        <v>233198</v>
      </c>
      <c r="Z73" s="113">
        <f t="shared" si="105"/>
        <v>1</v>
      </c>
      <c r="AA73" s="118">
        <v>-233198</v>
      </c>
      <c r="AB73" s="122"/>
      <c r="AC73" s="26">
        <f t="shared" si="32"/>
        <v>0</v>
      </c>
      <c r="AD73" s="104">
        <f t="shared" si="17"/>
        <v>0</v>
      </c>
      <c r="AE73" s="104"/>
      <c r="AF73" s="104">
        <f t="shared" si="97"/>
        <v>0</v>
      </c>
      <c r="AG73" s="104"/>
      <c r="AH73" s="104">
        <f t="shared" si="98"/>
        <v>0</v>
      </c>
      <c r="AI73" s="104">
        <f t="shared" si="100"/>
        <v>0</v>
      </c>
      <c r="AJ73" s="104">
        <v>1</v>
      </c>
      <c r="AK73" s="104"/>
      <c r="AL73" s="104">
        <v>0</v>
      </c>
      <c r="AM73" s="104">
        <v>0</v>
      </c>
      <c r="AN73" s="104">
        <f t="shared" si="36"/>
        <v>-233198</v>
      </c>
      <c r="AO73" s="104"/>
      <c r="AP73" s="113">
        <f t="shared" si="101"/>
        <v>233198</v>
      </c>
      <c r="AQ73" s="113"/>
      <c r="AR73" s="34">
        <f t="shared" si="38"/>
        <v>233198</v>
      </c>
      <c r="AS73" s="10">
        <f t="shared" si="38"/>
        <v>1</v>
      </c>
      <c r="AT73" s="10"/>
      <c r="AU73" s="10">
        <f t="shared" si="39"/>
        <v>0</v>
      </c>
      <c r="AV73" s="10">
        <f>233198</f>
        <v>233198</v>
      </c>
      <c r="AW73" s="10">
        <f t="shared" si="40"/>
        <v>1</v>
      </c>
      <c r="AX73" s="10">
        <f>AR73/0.9*0.1</f>
        <v>25910.888888888891</v>
      </c>
      <c r="AY73" s="10"/>
      <c r="AZ73" s="10"/>
      <c r="BA73" s="10">
        <v>0</v>
      </c>
      <c r="BB73" s="10">
        <v>0</v>
      </c>
      <c r="BC73" s="10">
        <f t="shared" si="42"/>
        <v>0</v>
      </c>
      <c r="BD73" s="10"/>
      <c r="BE73" s="26">
        <f t="shared" si="43"/>
        <v>0</v>
      </c>
      <c r="BF73" s="104">
        <f t="shared" si="43"/>
        <v>0</v>
      </c>
      <c r="BG73" s="104"/>
      <c r="BH73" s="104">
        <f t="shared" si="44"/>
        <v>0</v>
      </c>
      <c r="BI73" s="104"/>
      <c r="BJ73" s="104">
        <f t="shared" si="45"/>
        <v>0</v>
      </c>
      <c r="BK73" s="104"/>
      <c r="BL73" s="104"/>
      <c r="BM73" s="104"/>
      <c r="BN73" s="104" t="s">
        <v>276</v>
      </c>
      <c r="BO73" s="104" t="s">
        <v>926</v>
      </c>
      <c r="BP73" s="104" t="s">
        <v>277</v>
      </c>
      <c r="BQ73" s="104" t="s">
        <v>278</v>
      </c>
      <c r="BR73" s="104" t="s">
        <v>279</v>
      </c>
      <c r="BS73" s="104" t="s">
        <v>275</v>
      </c>
      <c r="BT73" s="55" t="s">
        <v>925</v>
      </c>
    </row>
    <row r="74" spans="1:72" s="3" customFormat="1" ht="44.25" customHeight="1" outlineLevel="1" x14ac:dyDescent="0.25">
      <c r="A74" s="106"/>
      <c r="B74" s="59">
        <v>10</v>
      </c>
      <c r="C74" s="104" t="s">
        <v>256</v>
      </c>
      <c r="D74" s="104" t="s">
        <v>257</v>
      </c>
      <c r="E74" s="104">
        <v>2016</v>
      </c>
      <c r="F74" s="104">
        <v>226731</v>
      </c>
      <c r="G74" s="104">
        <v>238312</v>
      </c>
      <c r="H74" s="104"/>
      <c r="I74" s="104"/>
      <c r="J74" s="104"/>
      <c r="K74" s="104"/>
      <c r="L74" s="104"/>
      <c r="M74" s="104">
        <v>0</v>
      </c>
      <c r="N74" s="104">
        <f t="shared" si="99"/>
        <v>0</v>
      </c>
      <c r="O74" s="104">
        <v>214481</v>
      </c>
      <c r="P74" s="104">
        <v>1</v>
      </c>
      <c r="Q74" s="26">
        <v>0</v>
      </c>
      <c r="R74" s="104">
        <v>0</v>
      </c>
      <c r="S74" s="104">
        <f t="shared" si="28"/>
        <v>0</v>
      </c>
      <c r="T74" s="104"/>
      <c r="U74" s="26">
        <v>0</v>
      </c>
      <c r="V74" s="113">
        <f t="shared" si="103"/>
        <v>0</v>
      </c>
      <c r="W74" s="113"/>
      <c r="X74" s="113">
        <f t="shared" si="104"/>
        <v>0</v>
      </c>
      <c r="Y74" s="113"/>
      <c r="Z74" s="113">
        <f t="shared" si="105"/>
        <v>0</v>
      </c>
      <c r="AA74" s="118">
        <v>0</v>
      </c>
      <c r="AB74" s="122"/>
      <c r="AC74" s="26">
        <v>0</v>
      </c>
      <c r="AD74" s="104">
        <f t="shared" si="17"/>
        <v>0</v>
      </c>
      <c r="AE74" s="104"/>
      <c r="AF74" s="104">
        <f t="shared" si="97"/>
        <v>0</v>
      </c>
      <c r="AG74" s="104"/>
      <c r="AH74" s="104">
        <f t="shared" si="98"/>
        <v>0</v>
      </c>
      <c r="AI74" s="104">
        <f t="shared" si="100"/>
        <v>0</v>
      </c>
      <c r="AJ74" s="104"/>
      <c r="AK74" s="104"/>
      <c r="AL74" s="104">
        <v>214481</v>
      </c>
      <c r="AM74" s="104">
        <v>1</v>
      </c>
      <c r="AN74" s="104">
        <f t="shared" si="36"/>
        <v>0</v>
      </c>
      <c r="AO74" s="104"/>
      <c r="AP74" s="113">
        <f t="shared" si="101"/>
        <v>0</v>
      </c>
      <c r="AQ74" s="113"/>
      <c r="AR74" s="34">
        <f t="shared" si="38"/>
        <v>214481</v>
      </c>
      <c r="AS74" s="10">
        <f t="shared" si="38"/>
        <v>1</v>
      </c>
      <c r="AT74" s="10"/>
      <c r="AU74" s="10">
        <f t="shared" si="39"/>
        <v>0</v>
      </c>
      <c r="AV74" s="10">
        <v>214481</v>
      </c>
      <c r="AW74" s="10">
        <f t="shared" si="40"/>
        <v>1</v>
      </c>
      <c r="AX74" s="10">
        <f>AV74/0.9*0.1</f>
        <v>23831.222222222223</v>
      </c>
      <c r="AY74" s="10">
        <v>1</v>
      </c>
      <c r="AZ74" s="10"/>
      <c r="BA74" s="10">
        <v>0</v>
      </c>
      <c r="BB74" s="10">
        <v>0</v>
      </c>
      <c r="BC74" s="10">
        <f t="shared" si="42"/>
        <v>0</v>
      </c>
      <c r="BD74" s="10"/>
      <c r="BE74" s="26">
        <f t="shared" si="43"/>
        <v>0</v>
      </c>
      <c r="BF74" s="104">
        <f t="shared" si="43"/>
        <v>0</v>
      </c>
      <c r="BG74" s="104"/>
      <c r="BH74" s="104">
        <f t="shared" si="44"/>
        <v>0</v>
      </c>
      <c r="BI74" s="104"/>
      <c r="BJ74" s="104">
        <f t="shared" si="45"/>
        <v>0</v>
      </c>
      <c r="BK74" s="104"/>
      <c r="BL74" s="104"/>
      <c r="BM74" s="104"/>
      <c r="BN74" s="104" t="s">
        <v>393</v>
      </c>
      <c r="BO74" s="104" t="s">
        <v>266</v>
      </c>
      <c r="BP74" s="104" t="s">
        <v>394</v>
      </c>
      <c r="BQ74" s="104" t="s">
        <v>396</v>
      </c>
      <c r="BR74" s="104" t="s">
        <v>395</v>
      </c>
      <c r="BS74" s="104" t="s">
        <v>397</v>
      </c>
      <c r="BT74" s="55" t="s">
        <v>526</v>
      </c>
    </row>
    <row r="75" spans="1:72" s="3" customFormat="1" ht="52.5" customHeight="1" outlineLevel="1" x14ac:dyDescent="0.25">
      <c r="A75" s="106"/>
      <c r="B75" s="59">
        <v>11</v>
      </c>
      <c r="C75" s="104" t="s">
        <v>1455</v>
      </c>
      <c r="D75" s="104" t="s">
        <v>502</v>
      </c>
      <c r="E75" s="104">
        <v>2015</v>
      </c>
      <c r="F75" s="104">
        <v>259349.77</v>
      </c>
      <c r="G75" s="104">
        <v>242250</v>
      </c>
      <c r="H75" s="104"/>
      <c r="I75" s="104"/>
      <c r="J75" s="104"/>
      <c r="K75" s="104"/>
      <c r="L75" s="104"/>
      <c r="M75" s="104"/>
      <c r="N75" s="104">
        <f t="shared" si="99"/>
        <v>0</v>
      </c>
      <c r="O75" s="104">
        <v>218025</v>
      </c>
      <c r="P75" s="104">
        <v>1</v>
      </c>
      <c r="Q75" s="26">
        <v>218025</v>
      </c>
      <c r="R75" s="104">
        <v>1</v>
      </c>
      <c r="S75" s="104">
        <f t="shared" si="28"/>
        <v>218025</v>
      </c>
      <c r="T75" s="104"/>
      <c r="U75" s="26">
        <f t="shared" si="103"/>
        <v>218025</v>
      </c>
      <c r="V75" s="113">
        <f t="shared" si="103"/>
        <v>1</v>
      </c>
      <c r="W75" s="113"/>
      <c r="X75" s="113">
        <f t="shared" si="104"/>
        <v>0</v>
      </c>
      <c r="Y75" s="113">
        <v>218025</v>
      </c>
      <c r="Z75" s="113">
        <f t="shared" si="105"/>
        <v>1</v>
      </c>
      <c r="AA75" s="118">
        <v>-218025</v>
      </c>
      <c r="AB75" s="122"/>
      <c r="AC75" s="26">
        <f t="shared" si="32"/>
        <v>0</v>
      </c>
      <c r="AD75" s="104">
        <f t="shared" si="17"/>
        <v>0</v>
      </c>
      <c r="AE75" s="104"/>
      <c r="AF75" s="104">
        <f t="shared" si="97"/>
        <v>0</v>
      </c>
      <c r="AG75" s="104"/>
      <c r="AH75" s="104">
        <f t="shared" si="98"/>
        <v>0</v>
      </c>
      <c r="AI75" s="104">
        <f t="shared" si="100"/>
        <v>0</v>
      </c>
      <c r="AJ75" s="104">
        <v>1</v>
      </c>
      <c r="AK75" s="104"/>
      <c r="AL75" s="104">
        <v>0</v>
      </c>
      <c r="AM75" s="104">
        <v>0</v>
      </c>
      <c r="AN75" s="104">
        <f t="shared" si="36"/>
        <v>-218025</v>
      </c>
      <c r="AO75" s="104"/>
      <c r="AP75" s="113">
        <f t="shared" si="101"/>
        <v>218025</v>
      </c>
      <c r="AQ75" s="113"/>
      <c r="AR75" s="34">
        <f t="shared" si="38"/>
        <v>218025</v>
      </c>
      <c r="AS75" s="10">
        <f t="shared" si="38"/>
        <v>1</v>
      </c>
      <c r="AT75" s="10"/>
      <c r="AU75" s="10">
        <f t="shared" si="39"/>
        <v>0</v>
      </c>
      <c r="AV75" s="10">
        <f>218025</f>
        <v>218025</v>
      </c>
      <c r="AW75" s="10">
        <f t="shared" si="40"/>
        <v>1</v>
      </c>
      <c r="AX75" s="10">
        <f>AV75/0.9*0.1</f>
        <v>24225</v>
      </c>
      <c r="AY75" s="10"/>
      <c r="AZ75" s="10"/>
      <c r="BA75" s="10">
        <v>0</v>
      </c>
      <c r="BB75" s="10">
        <v>0</v>
      </c>
      <c r="BC75" s="10">
        <f t="shared" si="42"/>
        <v>0</v>
      </c>
      <c r="BD75" s="10"/>
      <c r="BE75" s="26">
        <f t="shared" si="43"/>
        <v>0</v>
      </c>
      <c r="BF75" s="104">
        <f t="shared" si="43"/>
        <v>0</v>
      </c>
      <c r="BG75" s="104"/>
      <c r="BH75" s="104">
        <f t="shared" si="44"/>
        <v>0</v>
      </c>
      <c r="BI75" s="104"/>
      <c r="BJ75" s="104">
        <f t="shared" si="45"/>
        <v>0</v>
      </c>
      <c r="BK75" s="104"/>
      <c r="BL75" s="104"/>
      <c r="BM75" s="104"/>
      <c r="BN75" s="104" t="s">
        <v>503</v>
      </c>
      <c r="BO75" s="104" t="s">
        <v>1564</v>
      </c>
      <c r="BP75" s="104" t="s">
        <v>504</v>
      </c>
      <c r="BQ75" s="104" t="s">
        <v>1366</v>
      </c>
      <c r="BR75" s="104" t="s">
        <v>505</v>
      </c>
      <c r="BS75" s="104" t="s">
        <v>410</v>
      </c>
      <c r="BT75" s="55" t="s">
        <v>527</v>
      </c>
    </row>
    <row r="76" spans="1:72" s="3" customFormat="1" ht="43.5" customHeight="1" outlineLevel="1" x14ac:dyDescent="0.25">
      <c r="A76" s="106"/>
      <c r="B76" s="59">
        <v>12</v>
      </c>
      <c r="C76" s="104" t="s">
        <v>406</v>
      </c>
      <c r="D76" s="104" t="s">
        <v>407</v>
      </c>
      <c r="E76" s="104" t="s">
        <v>1118</v>
      </c>
      <c r="F76" s="104">
        <v>289378.90000000002</v>
      </c>
      <c r="G76" s="104">
        <v>272279</v>
      </c>
      <c r="H76" s="104"/>
      <c r="I76" s="104"/>
      <c r="J76" s="104"/>
      <c r="K76" s="104"/>
      <c r="L76" s="104"/>
      <c r="M76" s="104"/>
      <c r="N76" s="104">
        <f t="shared" si="99"/>
        <v>0</v>
      </c>
      <c r="O76" s="104">
        <v>245051</v>
      </c>
      <c r="P76" s="104">
        <v>1</v>
      </c>
      <c r="Q76" s="26">
        <v>0</v>
      </c>
      <c r="R76" s="104">
        <v>0</v>
      </c>
      <c r="S76" s="104">
        <f t="shared" si="28"/>
        <v>0</v>
      </c>
      <c r="T76" s="104"/>
      <c r="U76" s="26">
        <f>Y76</f>
        <v>0</v>
      </c>
      <c r="V76" s="113">
        <f t="shared" si="103"/>
        <v>0</v>
      </c>
      <c r="W76" s="113"/>
      <c r="X76" s="113">
        <f t="shared" si="104"/>
        <v>0</v>
      </c>
      <c r="Y76" s="113">
        <v>0</v>
      </c>
      <c r="Z76" s="113">
        <f t="shared" si="105"/>
        <v>0</v>
      </c>
      <c r="AA76" s="118">
        <v>0</v>
      </c>
      <c r="AB76" s="122"/>
      <c r="AC76" s="26">
        <f>AG76</f>
        <v>0</v>
      </c>
      <c r="AD76" s="104">
        <f t="shared" si="17"/>
        <v>0</v>
      </c>
      <c r="AE76" s="104"/>
      <c r="AF76" s="104">
        <f t="shared" si="97"/>
        <v>0</v>
      </c>
      <c r="AG76" s="104">
        <v>0</v>
      </c>
      <c r="AH76" s="104">
        <f t="shared" si="98"/>
        <v>0</v>
      </c>
      <c r="AI76" s="104">
        <f t="shared" si="100"/>
        <v>0</v>
      </c>
      <c r="AJ76" s="104"/>
      <c r="AK76" s="104"/>
      <c r="AL76" s="104">
        <v>164623</v>
      </c>
      <c r="AM76" s="104">
        <v>1</v>
      </c>
      <c r="AN76" s="104">
        <f t="shared" si="36"/>
        <v>0</v>
      </c>
      <c r="AO76" s="104"/>
      <c r="AP76" s="113">
        <f t="shared" si="101"/>
        <v>0</v>
      </c>
      <c r="AQ76" s="113"/>
      <c r="AR76" s="34">
        <f t="shared" si="38"/>
        <v>164623</v>
      </c>
      <c r="AS76" s="10">
        <f t="shared" si="38"/>
        <v>1</v>
      </c>
      <c r="AT76" s="10"/>
      <c r="AU76" s="10">
        <f t="shared" si="39"/>
        <v>0</v>
      </c>
      <c r="AV76" s="10">
        <v>164623</v>
      </c>
      <c r="AW76" s="10">
        <f t="shared" si="40"/>
        <v>1</v>
      </c>
      <c r="AX76" s="10">
        <f>AV76/0.9*0.1</f>
        <v>18291.444444444445</v>
      </c>
      <c r="AY76" s="10"/>
      <c r="AZ76" s="10">
        <v>1</v>
      </c>
      <c r="BA76" s="10">
        <v>80428</v>
      </c>
      <c r="BB76" s="10">
        <v>1</v>
      </c>
      <c r="BC76" s="10">
        <f t="shared" si="42"/>
        <v>0</v>
      </c>
      <c r="BD76" s="10"/>
      <c r="BE76" s="26">
        <f t="shared" si="43"/>
        <v>80428</v>
      </c>
      <c r="BF76" s="104">
        <f t="shared" si="43"/>
        <v>1</v>
      </c>
      <c r="BG76" s="104">
        <v>80428</v>
      </c>
      <c r="BH76" s="104">
        <f t="shared" si="44"/>
        <v>1</v>
      </c>
      <c r="BI76" s="104"/>
      <c r="BJ76" s="104">
        <f t="shared" si="45"/>
        <v>0</v>
      </c>
      <c r="BK76" s="104">
        <f>BG76/0.9*0.1</f>
        <v>8936.4444444444434</v>
      </c>
      <c r="BL76" s="104">
        <v>1</v>
      </c>
      <c r="BM76" s="104"/>
      <c r="BN76" s="104" t="s">
        <v>408</v>
      </c>
      <c r="BO76" s="104" t="s">
        <v>1513</v>
      </c>
      <c r="BP76" s="104" t="s">
        <v>409</v>
      </c>
      <c r="BQ76" s="104" t="s">
        <v>1230</v>
      </c>
      <c r="BR76" s="104" t="s">
        <v>411</v>
      </c>
      <c r="BS76" s="104" t="s">
        <v>410</v>
      </c>
      <c r="BT76" s="55" t="s">
        <v>1141</v>
      </c>
    </row>
    <row r="77" spans="1:72" s="3" customFormat="1" ht="44.25" customHeight="1" outlineLevel="1" x14ac:dyDescent="0.25">
      <c r="A77" s="106"/>
      <c r="B77" s="59">
        <v>13</v>
      </c>
      <c r="C77" s="104" t="s">
        <v>412</v>
      </c>
      <c r="D77" s="104" t="s">
        <v>413</v>
      </c>
      <c r="E77" s="104" t="s">
        <v>1118</v>
      </c>
      <c r="F77" s="104">
        <v>709026.7</v>
      </c>
      <c r="G77" s="104">
        <v>688567</v>
      </c>
      <c r="H77" s="104"/>
      <c r="I77" s="104"/>
      <c r="J77" s="104"/>
      <c r="K77" s="104"/>
      <c r="L77" s="104"/>
      <c r="M77" s="104"/>
      <c r="N77" s="104">
        <f t="shared" si="99"/>
        <v>0</v>
      </c>
      <c r="O77" s="104">
        <v>309855</v>
      </c>
      <c r="P77" s="104">
        <v>1</v>
      </c>
      <c r="Q77" s="26">
        <v>0</v>
      </c>
      <c r="R77" s="104">
        <v>0</v>
      </c>
      <c r="S77" s="104">
        <f t="shared" si="28"/>
        <v>0</v>
      </c>
      <c r="T77" s="104"/>
      <c r="U77" s="26">
        <f t="shared" si="103"/>
        <v>0</v>
      </c>
      <c r="V77" s="113">
        <f t="shared" si="103"/>
        <v>0</v>
      </c>
      <c r="W77" s="113"/>
      <c r="X77" s="113">
        <f t="shared" si="104"/>
        <v>0</v>
      </c>
      <c r="Y77" s="113">
        <v>0</v>
      </c>
      <c r="Z77" s="113">
        <f t="shared" si="105"/>
        <v>0</v>
      </c>
      <c r="AA77" s="118">
        <v>0</v>
      </c>
      <c r="AB77" s="122"/>
      <c r="AC77" s="26">
        <f t="shared" si="32"/>
        <v>0</v>
      </c>
      <c r="AD77" s="104">
        <f t="shared" si="17"/>
        <v>0</v>
      </c>
      <c r="AE77" s="104"/>
      <c r="AF77" s="104">
        <f t="shared" si="97"/>
        <v>0</v>
      </c>
      <c r="AG77" s="104">
        <v>0</v>
      </c>
      <c r="AH77" s="104">
        <f t="shared" si="98"/>
        <v>0</v>
      </c>
      <c r="AI77" s="104">
        <f t="shared" si="100"/>
        <v>0</v>
      </c>
      <c r="AJ77" s="104"/>
      <c r="AK77" s="104"/>
      <c r="AL77" s="104">
        <v>170000</v>
      </c>
      <c r="AM77" s="104">
        <v>1</v>
      </c>
      <c r="AN77" s="104">
        <f t="shared" si="36"/>
        <v>0</v>
      </c>
      <c r="AO77" s="104"/>
      <c r="AP77" s="113">
        <f t="shared" si="101"/>
        <v>0</v>
      </c>
      <c r="AQ77" s="113"/>
      <c r="AR77" s="34">
        <f t="shared" si="38"/>
        <v>170000</v>
      </c>
      <c r="AS77" s="10">
        <f t="shared" si="38"/>
        <v>1</v>
      </c>
      <c r="AT77" s="10"/>
      <c r="AU77" s="10">
        <f t="shared" si="39"/>
        <v>0</v>
      </c>
      <c r="AV77" s="10">
        <v>170000</v>
      </c>
      <c r="AW77" s="10">
        <f t="shared" si="40"/>
        <v>1</v>
      </c>
      <c r="AX77" s="10">
        <f>AR77/0.9*0.1</f>
        <v>18888.888888888887</v>
      </c>
      <c r="AY77" s="10"/>
      <c r="AZ77" s="10">
        <v>1</v>
      </c>
      <c r="BA77" s="10">
        <v>449710</v>
      </c>
      <c r="BB77" s="10">
        <v>1</v>
      </c>
      <c r="BC77" s="10">
        <f t="shared" si="42"/>
        <v>0</v>
      </c>
      <c r="BD77" s="10"/>
      <c r="BE77" s="26">
        <f t="shared" si="43"/>
        <v>449710</v>
      </c>
      <c r="BF77" s="104">
        <f t="shared" si="43"/>
        <v>1</v>
      </c>
      <c r="BG77" s="104">
        <v>449710</v>
      </c>
      <c r="BH77" s="104">
        <f t="shared" si="44"/>
        <v>1</v>
      </c>
      <c r="BI77" s="104"/>
      <c r="BJ77" s="104">
        <f t="shared" si="45"/>
        <v>0</v>
      </c>
      <c r="BK77" s="104">
        <f>BE77/0.9*0.1</f>
        <v>49967.777777777781</v>
      </c>
      <c r="BL77" s="104">
        <v>1</v>
      </c>
      <c r="BM77" s="104"/>
      <c r="BN77" s="104" t="s">
        <v>414</v>
      </c>
      <c r="BO77" s="104" t="s">
        <v>1709</v>
      </c>
      <c r="BP77" s="104" t="s">
        <v>415</v>
      </c>
      <c r="BQ77" s="104" t="s">
        <v>416</v>
      </c>
      <c r="BR77" s="104" t="s">
        <v>417</v>
      </c>
      <c r="BS77" s="104" t="s">
        <v>405</v>
      </c>
      <c r="BT77" s="55" t="s">
        <v>266</v>
      </c>
    </row>
    <row r="78" spans="1:72" s="3" customFormat="1" ht="53.25" customHeight="1" outlineLevel="1" x14ac:dyDescent="0.25">
      <c r="A78" s="106"/>
      <c r="B78" s="59">
        <v>14</v>
      </c>
      <c r="C78" s="104" t="s">
        <v>1456</v>
      </c>
      <c r="D78" s="104" t="s">
        <v>418</v>
      </c>
      <c r="E78" s="104">
        <v>2016</v>
      </c>
      <c r="F78" s="104">
        <v>440853</v>
      </c>
      <c r="G78" s="104">
        <v>437914</v>
      </c>
      <c r="H78" s="104"/>
      <c r="I78" s="104"/>
      <c r="J78" s="104"/>
      <c r="K78" s="104"/>
      <c r="L78" s="104"/>
      <c r="M78" s="104">
        <f>AG78+AI78</f>
        <v>0</v>
      </c>
      <c r="N78" s="104">
        <f t="shared" si="99"/>
        <v>0</v>
      </c>
      <c r="O78" s="104">
        <v>394123</v>
      </c>
      <c r="P78" s="104">
        <v>1</v>
      </c>
      <c r="Q78" s="26">
        <v>0</v>
      </c>
      <c r="R78" s="104">
        <v>0</v>
      </c>
      <c r="S78" s="104">
        <f t="shared" si="28"/>
        <v>0</v>
      </c>
      <c r="T78" s="104"/>
      <c r="U78" s="26">
        <f t="shared" si="103"/>
        <v>0</v>
      </c>
      <c r="V78" s="113">
        <f t="shared" si="103"/>
        <v>0</v>
      </c>
      <c r="W78" s="113"/>
      <c r="X78" s="113">
        <f t="shared" si="104"/>
        <v>0</v>
      </c>
      <c r="Y78" s="113"/>
      <c r="Z78" s="113">
        <f t="shared" si="105"/>
        <v>0</v>
      </c>
      <c r="AA78" s="118">
        <v>0</v>
      </c>
      <c r="AB78" s="122"/>
      <c r="AC78" s="26">
        <f t="shared" si="32"/>
        <v>0</v>
      </c>
      <c r="AD78" s="104">
        <f t="shared" si="17"/>
        <v>0</v>
      </c>
      <c r="AE78" s="104"/>
      <c r="AF78" s="104">
        <f t="shared" si="97"/>
        <v>0</v>
      </c>
      <c r="AG78" s="104"/>
      <c r="AH78" s="104">
        <f t="shared" si="98"/>
        <v>0</v>
      </c>
      <c r="AI78" s="104">
        <f t="shared" si="100"/>
        <v>0</v>
      </c>
      <c r="AJ78" s="104"/>
      <c r="AK78" s="104"/>
      <c r="AL78" s="104">
        <v>394123</v>
      </c>
      <c r="AM78" s="104">
        <v>1</v>
      </c>
      <c r="AN78" s="104">
        <f t="shared" si="36"/>
        <v>0</v>
      </c>
      <c r="AO78" s="104"/>
      <c r="AP78" s="113">
        <f t="shared" si="101"/>
        <v>0</v>
      </c>
      <c r="AQ78" s="113"/>
      <c r="AR78" s="34">
        <f t="shared" si="38"/>
        <v>394123</v>
      </c>
      <c r="AS78" s="10">
        <f t="shared" si="38"/>
        <v>1</v>
      </c>
      <c r="AT78" s="10"/>
      <c r="AU78" s="10">
        <f t="shared" si="39"/>
        <v>0</v>
      </c>
      <c r="AV78" s="10">
        <v>394123</v>
      </c>
      <c r="AW78" s="10">
        <f t="shared" si="40"/>
        <v>1</v>
      </c>
      <c r="AX78" s="10">
        <f>AV78/0.9*0.1</f>
        <v>43791.444444444445</v>
      </c>
      <c r="AY78" s="10">
        <v>1</v>
      </c>
      <c r="AZ78" s="10"/>
      <c r="BA78" s="10">
        <v>0</v>
      </c>
      <c r="BB78" s="10">
        <v>0</v>
      </c>
      <c r="BC78" s="10">
        <f t="shared" si="42"/>
        <v>0</v>
      </c>
      <c r="BD78" s="10"/>
      <c r="BE78" s="26">
        <f t="shared" si="43"/>
        <v>0</v>
      </c>
      <c r="BF78" s="104">
        <f t="shared" si="43"/>
        <v>0</v>
      </c>
      <c r="BG78" s="104"/>
      <c r="BH78" s="104">
        <f t="shared" si="44"/>
        <v>0</v>
      </c>
      <c r="BI78" s="104"/>
      <c r="BJ78" s="104">
        <f t="shared" si="45"/>
        <v>0</v>
      </c>
      <c r="BK78" s="104"/>
      <c r="BL78" s="104"/>
      <c r="BM78" s="104"/>
      <c r="BN78" s="104" t="s">
        <v>419</v>
      </c>
      <c r="BO78" s="104" t="s">
        <v>1565</v>
      </c>
      <c r="BP78" s="104" t="s">
        <v>420</v>
      </c>
      <c r="BQ78" s="104" t="s">
        <v>422</v>
      </c>
      <c r="BR78" s="104" t="s">
        <v>421</v>
      </c>
      <c r="BS78" s="104" t="s">
        <v>11</v>
      </c>
      <c r="BT78" s="55" t="s">
        <v>1132</v>
      </c>
    </row>
    <row r="79" spans="1:72" s="3" customFormat="1" ht="45" customHeight="1" outlineLevel="1" x14ac:dyDescent="0.25">
      <c r="A79" s="106"/>
      <c r="B79" s="59">
        <v>15</v>
      </c>
      <c r="C79" s="104" t="s">
        <v>544</v>
      </c>
      <c r="D79" s="104" t="s">
        <v>1123</v>
      </c>
      <c r="E79" s="104" t="s">
        <v>1118</v>
      </c>
      <c r="F79" s="104">
        <v>204862</v>
      </c>
      <c r="G79" s="104">
        <v>200203</v>
      </c>
      <c r="H79" s="104"/>
      <c r="I79" s="104"/>
      <c r="J79" s="104"/>
      <c r="K79" s="104"/>
      <c r="L79" s="104"/>
      <c r="M79" s="104"/>
      <c r="N79" s="104">
        <f t="shared" si="99"/>
        <v>0</v>
      </c>
      <c r="O79" s="104">
        <v>180183</v>
      </c>
      <c r="P79" s="104">
        <v>1</v>
      </c>
      <c r="Q79" s="26">
        <v>0</v>
      </c>
      <c r="R79" s="104">
        <v>0</v>
      </c>
      <c r="S79" s="104">
        <f t="shared" si="28"/>
        <v>0</v>
      </c>
      <c r="T79" s="104"/>
      <c r="U79" s="26">
        <f t="shared" si="103"/>
        <v>0</v>
      </c>
      <c r="V79" s="113">
        <f t="shared" si="103"/>
        <v>0</v>
      </c>
      <c r="W79" s="113"/>
      <c r="X79" s="113">
        <f t="shared" si="104"/>
        <v>0</v>
      </c>
      <c r="Y79" s="113">
        <v>0</v>
      </c>
      <c r="Z79" s="113">
        <f t="shared" si="105"/>
        <v>0</v>
      </c>
      <c r="AA79" s="118">
        <v>0</v>
      </c>
      <c r="AB79" s="122"/>
      <c r="AC79" s="26">
        <f t="shared" si="32"/>
        <v>0</v>
      </c>
      <c r="AD79" s="104">
        <f t="shared" si="17"/>
        <v>0</v>
      </c>
      <c r="AE79" s="104"/>
      <c r="AF79" s="104">
        <f t="shared" si="97"/>
        <v>0</v>
      </c>
      <c r="AG79" s="104">
        <v>0</v>
      </c>
      <c r="AH79" s="104">
        <f t="shared" si="98"/>
        <v>0</v>
      </c>
      <c r="AI79" s="104">
        <f t="shared" si="100"/>
        <v>0</v>
      </c>
      <c r="AJ79" s="104"/>
      <c r="AK79" s="104"/>
      <c r="AL79" s="104">
        <v>90182</v>
      </c>
      <c r="AM79" s="104">
        <v>1</v>
      </c>
      <c r="AN79" s="104">
        <f t="shared" si="36"/>
        <v>0</v>
      </c>
      <c r="AO79" s="104"/>
      <c r="AP79" s="113">
        <f t="shared" si="101"/>
        <v>0</v>
      </c>
      <c r="AQ79" s="113"/>
      <c r="AR79" s="34">
        <f t="shared" si="38"/>
        <v>90182</v>
      </c>
      <c r="AS79" s="10">
        <f t="shared" si="38"/>
        <v>1</v>
      </c>
      <c r="AT79" s="10"/>
      <c r="AU79" s="10">
        <f t="shared" si="39"/>
        <v>0</v>
      </c>
      <c r="AV79" s="10">
        <v>90182</v>
      </c>
      <c r="AW79" s="10">
        <f t="shared" si="40"/>
        <v>1</v>
      </c>
      <c r="AX79" s="10">
        <f t="shared" ref="AX79:AX84" si="106">AR79/0.9*0.1</f>
        <v>10020.222222222223</v>
      </c>
      <c r="AY79" s="10"/>
      <c r="AZ79" s="10">
        <v>1</v>
      </c>
      <c r="BA79" s="10">
        <v>90000</v>
      </c>
      <c r="BB79" s="10">
        <v>1</v>
      </c>
      <c r="BC79" s="10">
        <f t="shared" si="42"/>
        <v>0</v>
      </c>
      <c r="BD79" s="10"/>
      <c r="BE79" s="26">
        <f t="shared" si="43"/>
        <v>90000</v>
      </c>
      <c r="BF79" s="104">
        <f t="shared" si="43"/>
        <v>1</v>
      </c>
      <c r="BG79" s="104">
        <v>90000</v>
      </c>
      <c r="BH79" s="104">
        <f t="shared" si="44"/>
        <v>1</v>
      </c>
      <c r="BI79" s="104"/>
      <c r="BJ79" s="104">
        <f t="shared" si="45"/>
        <v>0</v>
      </c>
      <c r="BK79" s="104">
        <v>10001</v>
      </c>
      <c r="BL79" s="104">
        <v>1</v>
      </c>
      <c r="BM79" s="104"/>
      <c r="BN79" s="104" t="s">
        <v>927</v>
      </c>
      <c r="BO79" s="104" t="s">
        <v>1710</v>
      </c>
      <c r="BP79" s="104" t="s">
        <v>928</v>
      </c>
      <c r="BQ79" s="104" t="s">
        <v>266</v>
      </c>
      <c r="BR79" s="104" t="s">
        <v>930</v>
      </c>
      <c r="BS79" s="104" t="s">
        <v>929</v>
      </c>
      <c r="BT79" s="55" t="s">
        <v>1231</v>
      </c>
    </row>
    <row r="80" spans="1:72" s="3" customFormat="1" ht="61.5" customHeight="1" outlineLevel="1" x14ac:dyDescent="0.25">
      <c r="A80" s="106"/>
      <c r="B80" s="59">
        <v>16</v>
      </c>
      <c r="C80" s="104" t="s">
        <v>423</v>
      </c>
      <c r="D80" s="104" t="s">
        <v>424</v>
      </c>
      <c r="E80" s="104">
        <v>2016</v>
      </c>
      <c r="F80" s="104">
        <v>240572.9</v>
      </c>
      <c r="G80" s="104">
        <v>229896</v>
      </c>
      <c r="H80" s="104"/>
      <c r="I80" s="104"/>
      <c r="J80" s="104"/>
      <c r="K80" s="104"/>
      <c r="L80" s="104"/>
      <c r="M80" s="104">
        <f>AG80+AI80</f>
        <v>0</v>
      </c>
      <c r="N80" s="104">
        <f t="shared" si="99"/>
        <v>0</v>
      </c>
      <c r="O80" s="104">
        <v>206906</v>
      </c>
      <c r="P80" s="104">
        <v>1</v>
      </c>
      <c r="Q80" s="26">
        <v>0</v>
      </c>
      <c r="R80" s="104">
        <v>0</v>
      </c>
      <c r="S80" s="104">
        <f t="shared" si="28"/>
        <v>0</v>
      </c>
      <c r="T80" s="104"/>
      <c r="U80" s="26">
        <f t="shared" si="103"/>
        <v>0</v>
      </c>
      <c r="V80" s="113">
        <f t="shared" si="103"/>
        <v>0</v>
      </c>
      <c r="W80" s="113"/>
      <c r="X80" s="113">
        <f t="shared" si="104"/>
        <v>0</v>
      </c>
      <c r="Y80" s="113"/>
      <c r="Z80" s="113">
        <f t="shared" si="105"/>
        <v>0</v>
      </c>
      <c r="AA80" s="118">
        <v>0</v>
      </c>
      <c r="AB80" s="122"/>
      <c r="AC80" s="26">
        <f t="shared" si="32"/>
        <v>0</v>
      </c>
      <c r="AD80" s="104">
        <f t="shared" si="17"/>
        <v>0</v>
      </c>
      <c r="AE80" s="104"/>
      <c r="AF80" s="104">
        <f t="shared" si="97"/>
        <v>0</v>
      </c>
      <c r="AG80" s="104"/>
      <c r="AH80" s="104">
        <f t="shared" si="98"/>
        <v>0</v>
      </c>
      <c r="AI80" s="104">
        <f t="shared" si="100"/>
        <v>0</v>
      </c>
      <c r="AJ80" s="104"/>
      <c r="AK80" s="104"/>
      <c r="AL80" s="104">
        <v>206906</v>
      </c>
      <c r="AM80" s="104">
        <v>1</v>
      </c>
      <c r="AN80" s="104">
        <f t="shared" si="36"/>
        <v>0</v>
      </c>
      <c r="AO80" s="104"/>
      <c r="AP80" s="113">
        <f t="shared" si="101"/>
        <v>0</v>
      </c>
      <c r="AQ80" s="113"/>
      <c r="AR80" s="34">
        <f t="shared" si="38"/>
        <v>206906</v>
      </c>
      <c r="AS80" s="10">
        <f t="shared" si="38"/>
        <v>1</v>
      </c>
      <c r="AT80" s="10"/>
      <c r="AU80" s="10">
        <f t="shared" si="39"/>
        <v>0</v>
      </c>
      <c r="AV80" s="10">
        <v>206906</v>
      </c>
      <c r="AW80" s="10">
        <f t="shared" si="40"/>
        <v>1</v>
      </c>
      <c r="AX80" s="10">
        <f t="shared" si="106"/>
        <v>22989.555555555558</v>
      </c>
      <c r="AY80" s="10">
        <v>1</v>
      </c>
      <c r="AZ80" s="10"/>
      <c r="BA80" s="10">
        <v>0</v>
      </c>
      <c r="BB80" s="10">
        <v>0</v>
      </c>
      <c r="BC80" s="10">
        <f t="shared" si="42"/>
        <v>0</v>
      </c>
      <c r="BD80" s="10"/>
      <c r="BE80" s="26">
        <f t="shared" si="43"/>
        <v>0</v>
      </c>
      <c r="BF80" s="104">
        <f t="shared" si="43"/>
        <v>0</v>
      </c>
      <c r="BG80" s="104"/>
      <c r="BH80" s="104">
        <f t="shared" si="44"/>
        <v>0</v>
      </c>
      <c r="BI80" s="104"/>
      <c r="BJ80" s="104">
        <f t="shared" si="45"/>
        <v>0</v>
      </c>
      <c r="BK80" s="104"/>
      <c r="BL80" s="104"/>
      <c r="BM80" s="104"/>
      <c r="BN80" s="104" t="s">
        <v>425</v>
      </c>
      <c r="BO80" s="104" t="s">
        <v>1566</v>
      </c>
      <c r="BP80" s="104" t="s">
        <v>426</v>
      </c>
      <c r="BQ80" s="104" t="s">
        <v>427</v>
      </c>
      <c r="BR80" s="104" t="s">
        <v>428</v>
      </c>
      <c r="BS80" s="104" t="s">
        <v>405</v>
      </c>
      <c r="BT80" s="55" t="s">
        <v>429</v>
      </c>
    </row>
    <row r="81" spans="1:77" s="3" customFormat="1" ht="56.25" customHeight="1" outlineLevel="1" x14ac:dyDescent="0.25">
      <c r="A81" s="106"/>
      <c r="B81" s="59">
        <v>17</v>
      </c>
      <c r="C81" s="104" t="s">
        <v>432</v>
      </c>
      <c r="D81" s="104" t="s">
        <v>431</v>
      </c>
      <c r="E81" s="104" t="s">
        <v>1118</v>
      </c>
      <c r="F81" s="104">
        <v>466897.2</v>
      </c>
      <c r="G81" s="104">
        <v>437161</v>
      </c>
      <c r="H81" s="104"/>
      <c r="I81" s="104"/>
      <c r="J81" s="104"/>
      <c r="K81" s="104"/>
      <c r="L81" s="104"/>
      <c r="M81" s="104">
        <f>AG81+AI81</f>
        <v>0</v>
      </c>
      <c r="N81" s="104">
        <f t="shared" si="99"/>
        <v>0</v>
      </c>
      <c r="O81" s="104">
        <v>196722</v>
      </c>
      <c r="P81" s="104">
        <v>1</v>
      </c>
      <c r="Q81" s="26">
        <v>0</v>
      </c>
      <c r="R81" s="104">
        <v>0</v>
      </c>
      <c r="S81" s="104">
        <f t="shared" si="28"/>
        <v>0</v>
      </c>
      <c r="T81" s="104"/>
      <c r="U81" s="26">
        <f t="shared" si="103"/>
        <v>0</v>
      </c>
      <c r="V81" s="113">
        <f t="shared" si="103"/>
        <v>0</v>
      </c>
      <c r="W81" s="113"/>
      <c r="X81" s="113">
        <f t="shared" si="104"/>
        <v>0</v>
      </c>
      <c r="Y81" s="113"/>
      <c r="Z81" s="113">
        <f t="shared" si="105"/>
        <v>0</v>
      </c>
      <c r="AA81" s="118">
        <v>0</v>
      </c>
      <c r="AB81" s="122"/>
      <c r="AC81" s="26">
        <f t="shared" si="32"/>
        <v>0</v>
      </c>
      <c r="AD81" s="104">
        <f t="shared" si="17"/>
        <v>0</v>
      </c>
      <c r="AE81" s="104"/>
      <c r="AF81" s="104">
        <f t="shared" si="97"/>
        <v>0</v>
      </c>
      <c r="AG81" s="104"/>
      <c r="AH81" s="104">
        <f t="shared" si="98"/>
        <v>0</v>
      </c>
      <c r="AI81" s="104">
        <f t="shared" si="100"/>
        <v>0</v>
      </c>
      <c r="AJ81" s="104"/>
      <c r="AK81" s="104"/>
      <c r="AL81" s="104">
        <v>100000</v>
      </c>
      <c r="AM81" s="104">
        <v>1</v>
      </c>
      <c r="AN81" s="104">
        <f t="shared" si="36"/>
        <v>0</v>
      </c>
      <c r="AO81" s="104"/>
      <c r="AP81" s="113">
        <f t="shared" si="101"/>
        <v>0</v>
      </c>
      <c r="AQ81" s="113"/>
      <c r="AR81" s="34">
        <f t="shared" si="38"/>
        <v>100000</v>
      </c>
      <c r="AS81" s="10">
        <f t="shared" si="38"/>
        <v>1</v>
      </c>
      <c r="AT81" s="10"/>
      <c r="AU81" s="10">
        <f t="shared" si="39"/>
        <v>0</v>
      </c>
      <c r="AV81" s="10">
        <v>100000</v>
      </c>
      <c r="AW81" s="10">
        <f t="shared" si="40"/>
        <v>1</v>
      </c>
      <c r="AX81" s="10">
        <f t="shared" si="106"/>
        <v>11111.111111111111</v>
      </c>
      <c r="AY81" s="10"/>
      <c r="AZ81" s="10">
        <v>1</v>
      </c>
      <c r="BA81" s="10">
        <v>293445</v>
      </c>
      <c r="BB81" s="10">
        <v>1</v>
      </c>
      <c r="BC81" s="10">
        <f t="shared" si="42"/>
        <v>0</v>
      </c>
      <c r="BD81" s="10"/>
      <c r="BE81" s="26">
        <f t="shared" si="43"/>
        <v>293445</v>
      </c>
      <c r="BF81" s="104">
        <f t="shared" si="43"/>
        <v>1</v>
      </c>
      <c r="BG81" s="104">
        <v>293445</v>
      </c>
      <c r="BH81" s="104">
        <f t="shared" si="44"/>
        <v>1</v>
      </c>
      <c r="BI81" s="104"/>
      <c r="BJ81" s="104">
        <f t="shared" si="45"/>
        <v>0</v>
      </c>
      <c r="BK81" s="104">
        <f>BG81/0.9*0.1</f>
        <v>32605</v>
      </c>
      <c r="BL81" s="104">
        <v>1</v>
      </c>
      <c r="BM81" s="104"/>
      <c r="BN81" s="104" t="s">
        <v>433</v>
      </c>
      <c r="BO81" s="104" t="s">
        <v>437</v>
      </c>
      <c r="BP81" s="104" t="s">
        <v>434</v>
      </c>
      <c r="BQ81" s="104" t="s">
        <v>435</v>
      </c>
      <c r="BR81" s="104" t="s">
        <v>436</v>
      </c>
      <c r="BS81" s="104" t="s">
        <v>405</v>
      </c>
      <c r="BT81" s="55" t="s">
        <v>1136</v>
      </c>
    </row>
    <row r="82" spans="1:77" s="3" customFormat="1" ht="45.75" customHeight="1" outlineLevel="1" x14ac:dyDescent="0.25">
      <c r="A82" s="106"/>
      <c r="B82" s="59">
        <v>18</v>
      </c>
      <c r="C82" s="104" t="s">
        <v>1457</v>
      </c>
      <c r="D82" s="104" t="s">
        <v>438</v>
      </c>
      <c r="E82" s="104">
        <v>2016</v>
      </c>
      <c r="F82" s="104">
        <v>297072.03000000003</v>
      </c>
      <c r="G82" s="104">
        <v>289122</v>
      </c>
      <c r="H82" s="104"/>
      <c r="I82" s="104"/>
      <c r="J82" s="104"/>
      <c r="K82" s="104"/>
      <c r="L82" s="104"/>
      <c r="M82" s="104">
        <f>AG82+AI82</f>
        <v>0</v>
      </c>
      <c r="N82" s="104">
        <f t="shared" si="99"/>
        <v>0</v>
      </c>
      <c r="O82" s="104">
        <v>130105</v>
      </c>
      <c r="P82" s="104">
        <v>1</v>
      </c>
      <c r="Q82" s="26">
        <v>0</v>
      </c>
      <c r="R82" s="104">
        <v>0</v>
      </c>
      <c r="S82" s="104">
        <f t="shared" si="28"/>
        <v>0</v>
      </c>
      <c r="T82" s="104"/>
      <c r="U82" s="26">
        <f t="shared" si="103"/>
        <v>0</v>
      </c>
      <c r="V82" s="113">
        <f t="shared" si="103"/>
        <v>0</v>
      </c>
      <c r="W82" s="113"/>
      <c r="X82" s="113">
        <f t="shared" si="104"/>
        <v>0</v>
      </c>
      <c r="Y82" s="113"/>
      <c r="Z82" s="113">
        <f t="shared" si="105"/>
        <v>0</v>
      </c>
      <c r="AA82" s="118">
        <v>0</v>
      </c>
      <c r="AB82" s="122"/>
      <c r="AC82" s="26">
        <f t="shared" si="32"/>
        <v>0</v>
      </c>
      <c r="AD82" s="104">
        <f t="shared" si="17"/>
        <v>0</v>
      </c>
      <c r="AE82" s="104"/>
      <c r="AF82" s="104">
        <f t="shared" si="97"/>
        <v>0</v>
      </c>
      <c r="AG82" s="104"/>
      <c r="AH82" s="104">
        <f t="shared" si="98"/>
        <v>0</v>
      </c>
      <c r="AI82" s="104">
        <f t="shared" si="100"/>
        <v>0</v>
      </c>
      <c r="AJ82" s="104"/>
      <c r="AK82" s="104"/>
      <c r="AL82" s="104">
        <v>260210</v>
      </c>
      <c r="AM82" s="104">
        <v>1</v>
      </c>
      <c r="AN82" s="104">
        <f t="shared" si="36"/>
        <v>0</v>
      </c>
      <c r="AO82" s="104"/>
      <c r="AP82" s="113">
        <f t="shared" si="101"/>
        <v>0</v>
      </c>
      <c r="AQ82" s="113"/>
      <c r="AR82" s="34">
        <f t="shared" si="38"/>
        <v>260210</v>
      </c>
      <c r="AS82" s="10">
        <f t="shared" si="38"/>
        <v>1</v>
      </c>
      <c r="AT82" s="10">
        <v>260210</v>
      </c>
      <c r="AU82" s="10">
        <f t="shared" si="39"/>
        <v>1</v>
      </c>
      <c r="AV82" s="10"/>
      <c r="AW82" s="10">
        <f t="shared" si="40"/>
        <v>0</v>
      </c>
      <c r="AX82" s="10">
        <f t="shared" si="106"/>
        <v>28912.222222222219</v>
      </c>
      <c r="AY82" s="10">
        <v>1</v>
      </c>
      <c r="AZ82" s="10"/>
      <c r="BA82" s="10">
        <v>0</v>
      </c>
      <c r="BB82" s="10">
        <v>0</v>
      </c>
      <c r="BC82" s="10">
        <f t="shared" si="42"/>
        <v>0</v>
      </c>
      <c r="BD82" s="10"/>
      <c r="BE82" s="26">
        <f t="shared" si="43"/>
        <v>0</v>
      </c>
      <c r="BF82" s="104">
        <f t="shared" si="43"/>
        <v>0</v>
      </c>
      <c r="BG82" s="104"/>
      <c r="BH82" s="104">
        <f t="shared" si="44"/>
        <v>0</v>
      </c>
      <c r="BI82" s="104"/>
      <c r="BJ82" s="104">
        <f t="shared" si="45"/>
        <v>0</v>
      </c>
      <c r="BK82" s="104"/>
      <c r="BL82" s="104"/>
      <c r="BM82" s="104"/>
      <c r="BN82" s="104" t="s">
        <v>439</v>
      </c>
      <c r="BO82" s="104" t="s">
        <v>1513</v>
      </c>
      <c r="BP82" s="104" t="s">
        <v>440</v>
      </c>
      <c r="BQ82" s="104" t="s">
        <v>441</v>
      </c>
      <c r="BR82" s="104" t="s">
        <v>442</v>
      </c>
      <c r="BS82" s="104" t="s">
        <v>11</v>
      </c>
      <c r="BT82" s="55" t="s">
        <v>528</v>
      </c>
    </row>
    <row r="83" spans="1:77" s="3" customFormat="1" ht="46.5" customHeight="1" outlineLevel="1" x14ac:dyDescent="0.25">
      <c r="A83" s="106"/>
      <c r="B83" s="59">
        <v>19</v>
      </c>
      <c r="C83" s="104" t="s">
        <v>443</v>
      </c>
      <c r="D83" s="104" t="s">
        <v>444</v>
      </c>
      <c r="E83" s="104">
        <v>2016</v>
      </c>
      <c r="F83" s="104">
        <v>187717.52</v>
      </c>
      <c r="G83" s="104">
        <v>180017</v>
      </c>
      <c r="H83" s="104"/>
      <c r="I83" s="104"/>
      <c r="J83" s="104"/>
      <c r="K83" s="104"/>
      <c r="L83" s="104"/>
      <c r="M83" s="104"/>
      <c r="N83" s="104">
        <f t="shared" si="99"/>
        <v>0</v>
      </c>
      <c r="O83" s="104">
        <v>162015</v>
      </c>
      <c r="P83" s="104">
        <v>1</v>
      </c>
      <c r="Q83" s="26">
        <v>0</v>
      </c>
      <c r="R83" s="104">
        <v>0</v>
      </c>
      <c r="S83" s="104">
        <f t="shared" si="28"/>
        <v>0</v>
      </c>
      <c r="T83" s="104"/>
      <c r="U83" s="26">
        <f t="shared" si="103"/>
        <v>0</v>
      </c>
      <c r="V83" s="113">
        <f t="shared" si="103"/>
        <v>0</v>
      </c>
      <c r="W83" s="113"/>
      <c r="X83" s="113">
        <f t="shared" si="104"/>
        <v>0</v>
      </c>
      <c r="Y83" s="113">
        <v>0</v>
      </c>
      <c r="Z83" s="113">
        <f t="shared" si="105"/>
        <v>0</v>
      </c>
      <c r="AA83" s="118">
        <v>0</v>
      </c>
      <c r="AB83" s="122"/>
      <c r="AC83" s="26">
        <f t="shared" si="32"/>
        <v>0</v>
      </c>
      <c r="AD83" s="104">
        <f t="shared" si="17"/>
        <v>0</v>
      </c>
      <c r="AE83" s="104"/>
      <c r="AF83" s="104">
        <f t="shared" si="97"/>
        <v>0</v>
      </c>
      <c r="AG83" s="104">
        <v>0</v>
      </c>
      <c r="AH83" s="104">
        <f t="shared" si="98"/>
        <v>0</v>
      </c>
      <c r="AI83" s="104">
        <f t="shared" si="100"/>
        <v>0</v>
      </c>
      <c r="AJ83" s="104"/>
      <c r="AK83" s="104"/>
      <c r="AL83" s="104">
        <v>162015</v>
      </c>
      <c r="AM83" s="104">
        <v>1</v>
      </c>
      <c r="AN83" s="104">
        <f t="shared" si="36"/>
        <v>0</v>
      </c>
      <c r="AO83" s="104"/>
      <c r="AP83" s="113">
        <f t="shared" si="101"/>
        <v>0</v>
      </c>
      <c r="AQ83" s="113"/>
      <c r="AR83" s="34">
        <f t="shared" si="38"/>
        <v>162015</v>
      </c>
      <c r="AS83" s="10">
        <f t="shared" si="38"/>
        <v>1</v>
      </c>
      <c r="AT83" s="10"/>
      <c r="AU83" s="10">
        <f t="shared" si="39"/>
        <v>0</v>
      </c>
      <c r="AV83" s="10">
        <v>162015</v>
      </c>
      <c r="AW83" s="10">
        <f t="shared" si="40"/>
        <v>1</v>
      </c>
      <c r="AX83" s="10">
        <f t="shared" si="106"/>
        <v>18001.666666666668</v>
      </c>
      <c r="AY83" s="10">
        <v>1</v>
      </c>
      <c r="AZ83" s="10"/>
      <c r="BA83" s="10">
        <v>0</v>
      </c>
      <c r="BB83" s="10">
        <v>0</v>
      </c>
      <c r="BC83" s="10">
        <f t="shared" si="42"/>
        <v>0</v>
      </c>
      <c r="BD83" s="10"/>
      <c r="BE83" s="26">
        <f t="shared" si="43"/>
        <v>0</v>
      </c>
      <c r="BF83" s="104">
        <f t="shared" si="43"/>
        <v>0</v>
      </c>
      <c r="BG83" s="104"/>
      <c r="BH83" s="104">
        <f t="shared" si="44"/>
        <v>0</v>
      </c>
      <c r="BI83" s="104"/>
      <c r="BJ83" s="104">
        <f t="shared" si="45"/>
        <v>0</v>
      </c>
      <c r="BK83" s="104"/>
      <c r="BL83" s="104"/>
      <c r="BM83" s="104"/>
      <c r="BN83" s="104" t="s">
        <v>445</v>
      </c>
      <c r="BO83" s="104" t="s">
        <v>1513</v>
      </c>
      <c r="BP83" s="104" t="s">
        <v>446</v>
      </c>
      <c r="BQ83" s="104" t="s">
        <v>1567</v>
      </c>
      <c r="BR83" s="104" t="s">
        <v>266</v>
      </c>
      <c r="BS83" s="104" t="s">
        <v>405</v>
      </c>
      <c r="BT83" s="55" t="s">
        <v>529</v>
      </c>
    </row>
    <row r="84" spans="1:77" s="3" customFormat="1" ht="46.5" customHeight="1" outlineLevel="1" x14ac:dyDescent="0.25">
      <c r="A84" s="106"/>
      <c r="B84" s="59">
        <v>20</v>
      </c>
      <c r="C84" s="104" t="s">
        <v>447</v>
      </c>
      <c r="D84" s="104" t="s">
        <v>449</v>
      </c>
      <c r="E84" s="104">
        <v>2016</v>
      </c>
      <c r="F84" s="104">
        <v>207838.97700000001</v>
      </c>
      <c r="G84" s="104">
        <v>188839</v>
      </c>
      <c r="H84" s="104"/>
      <c r="I84" s="104"/>
      <c r="J84" s="104"/>
      <c r="K84" s="104"/>
      <c r="L84" s="104"/>
      <c r="M84" s="104"/>
      <c r="N84" s="104">
        <f t="shared" si="99"/>
        <v>0</v>
      </c>
      <c r="O84" s="104">
        <v>169955</v>
      </c>
      <c r="P84" s="104">
        <v>1</v>
      </c>
      <c r="Q84" s="26">
        <v>0</v>
      </c>
      <c r="R84" s="104">
        <v>0</v>
      </c>
      <c r="S84" s="104">
        <f t="shared" si="28"/>
        <v>0</v>
      </c>
      <c r="T84" s="104"/>
      <c r="U84" s="26">
        <f t="shared" si="103"/>
        <v>0</v>
      </c>
      <c r="V84" s="113">
        <f t="shared" si="103"/>
        <v>0</v>
      </c>
      <c r="W84" s="113"/>
      <c r="X84" s="113">
        <f t="shared" si="104"/>
        <v>0</v>
      </c>
      <c r="Y84" s="113">
        <v>0</v>
      </c>
      <c r="Z84" s="113">
        <f t="shared" si="105"/>
        <v>0</v>
      </c>
      <c r="AA84" s="118">
        <v>0</v>
      </c>
      <c r="AB84" s="122"/>
      <c r="AC84" s="26">
        <f t="shared" si="32"/>
        <v>0</v>
      </c>
      <c r="AD84" s="104">
        <f t="shared" si="17"/>
        <v>0</v>
      </c>
      <c r="AE84" s="104"/>
      <c r="AF84" s="104">
        <f t="shared" si="97"/>
        <v>0</v>
      </c>
      <c r="AG84" s="104">
        <v>0</v>
      </c>
      <c r="AH84" s="104">
        <f t="shared" si="98"/>
        <v>0</v>
      </c>
      <c r="AI84" s="104">
        <f t="shared" si="100"/>
        <v>0</v>
      </c>
      <c r="AJ84" s="104"/>
      <c r="AK84" s="104"/>
      <c r="AL84" s="104">
        <v>169955</v>
      </c>
      <c r="AM84" s="104">
        <v>1</v>
      </c>
      <c r="AN84" s="104">
        <f t="shared" si="36"/>
        <v>0</v>
      </c>
      <c r="AO84" s="104"/>
      <c r="AP84" s="113">
        <f t="shared" si="101"/>
        <v>0</v>
      </c>
      <c r="AQ84" s="113"/>
      <c r="AR84" s="34">
        <f t="shared" si="38"/>
        <v>169955</v>
      </c>
      <c r="AS84" s="10">
        <f t="shared" si="38"/>
        <v>1</v>
      </c>
      <c r="AT84" s="10"/>
      <c r="AU84" s="10">
        <f t="shared" si="39"/>
        <v>0</v>
      </c>
      <c r="AV84" s="10">
        <v>169955</v>
      </c>
      <c r="AW84" s="10">
        <f t="shared" si="40"/>
        <v>1</v>
      </c>
      <c r="AX84" s="10">
        <f t="shared" si="106"/>
        <v>18883.888888888887</v>
      </c>
      <c r="AY84" s="10">
        <v>1</v>
      </c>
      <c r="AZ84" s="10"/>
      <c r="BA84" s="10">
        <v>0</v>
      </c>
      <c r="BB84" s="10">
        <v>0</v>
      </c>
      <c r="BC84" s="10">
        <f t="shared" si="42"/>
        <v>0</v>
      </c>
      <c r="BD84" s="10"/>
      <c r="BE84" s="26">
        <f t="shared" si="43"/>
        <v>0</v>
      </c>
      <c r="BF84" s="104">
        <f t="shared" si="43"/>
        <v>0</v>
      </c>
      <c r="BG84" s="104"/>
      <c r="BH84" s="104">
        <f t="shared" si="44"/>
        <v>0</v>
      </c>
      <c r="BI84" s="104"/>
      <c r="BJ84" s="104">
        <f t="shared" si="45"/>
        <v>0</v>
      </c>
      <c r="BK84" s="104"/>
      <c r="BL84" s="104"/>
      <c r="BM84" s="104"/>
      <c r="BN84" s="104" t="s">
        <v>448</v>
      </c>
      <c r="BO84" s="104" t="s">
        <v>1513</v>
      </c>
      <c r="BP84" s="104" t="s">
        <v>450</v>
      </c>
      <c r="BQ84" s="104" t="s">
        <v>451</v>
      </c>
      <c r="BR84" s="104" t="s">
        <v>266</v>
      </c>
      <c r="BS84" s="104" t="s">
        <v>405</v>
      </c>
      <c r="BT84" s="55" t="s">
        <v>530</v>
      </c>
    </row>
    <row r="85" spans="1:77" s="3" customFormat="1" ht="51.75" customHeight="1" outlineLevel="1" x14ac:dyDescent="0.25">
      <c r="A85" s="106"/>
      <c r="B85" s="59">
        <v>21</v>
      </c>
      <c r="C85" s="104" t="s">
        <v>1458</v>
      </c>
      <c r="D85" s="104" t="s">
        <v>452</v>
      </c>
      <c r="E85" s="104">
        <v>2016</v>
      </c>
      <c r="F85" s="104">
        <v>149808</v>
      </c>
      <c r="G85" s="104">
        <v>136009</v>
      </c>
      <c r="H85" s="104"/>
      <c r="I85" s="104"/>
      <c r="J85" s="104"/>
      <c r="K85" s="104"/>
      <c r="L85" s="104"/>
      <c r="M85" s="104">
        <f>AG85+AI85</f>
        <v>0</v>
      </c>
      <c r="N85" s="104">
        <f t="shared" si="99"/>
        <v>0</v>
      </c>
      <c r="O85" s="104">
        <v>122408</v>
      </c>
      <c r="P85" s="104">
        <v>1</v>
      </c>
      <c r="Q85" s="26">
        <v>0</v>
      </c>
      <c r="R85" s="104">
        <v>0</v>
      </c>
      <c r="S85" s="104">
        <f t="shared" si="28"/>
        <v>0</v>
      </c>
      <c r="T85" s="104"/>
      <c r="U85" s="26">
        <f t="shared" si="103"/>
        <v>0</v>
      </c>
      <c r="V85" s="113">
        <f t="shared" si="103"/>
        <v>0</v>
      </c>
      <c r="W85" s="113"/>
      <c r="X85" s="113">
        <f t="shared" si="104"/>
        <v>0</v>
      </c>
      <c r="Y85" s="113"/>
      <c r="Z85" s="113">
        <f t="shared" si="105"/>
        <v>0</v>
      </c>
      <c r="AA85" s="118">
        <v>0</v>
      </c>
      <c r="AB85" s="122"/>
      <c r="AC85" s="26">
        <f t="shared" si="32"/>
        <v>0</v>
      </c>
      <c r="AD85" s="104">
        <f t="shared" si="17"/>
        <v>0</v>
      </c>
      <c r="AE85" s="104"/>
      <c r="AF85" s="104">
        <f t="shared" si="97"/>
        <v>0</v>
      </c>
      <c r="AG85" s="104"/>
      <c r="AH85" s="104">
        <f t="shared" si="98"/>
        <v>0</v>
      </c>
      <c r="AI85" s="104">
        <f t="shared" si="100"/>
        <v>0</v>
      </c>
      <c r="AJ85" s="104"/>
      <c r="AK85" s="104"/>
      <c r="AL85" s="104">
        <v>122408</v>
      </c>
      <c r="AM85" s="104">
        <v>1</v>
      </c>
      <c r="AN85" s="104">
        <f t="shared" si="36"/>
        <v>0</v>
      </c>
      <c r="AO85" s="104"/>
      <c r="AP85" s="113">
        <f t="shared" si="101"/>
        <v>0</v>
      </c>
      <c r="AQ85" s="113"/>
      <c r="AR85" s="34">
        <f t="shared" si="38"/>
        <v>122408</v>
      </c>
      <c r="AS85" s="10">
        <f t="shared" si="38"/>
        <v>1</v>
      </c>
      <c r="AT85" s="10"/>
      <c r="AU85" s="10">
        <f t="shared" si="39"/>
        <v>0</v>
      </c>
      <c r="AV85" s="10">
        <v>122408</v>
      </c>
      <c r="AW85" s="10">
        <f t="shared" si="40"/>
        <v>1</v>
      </c>
      <c r="AX85" s="10">
        <f>AV85/0.9*0.1</f>
        <v>13600.888888888889</v>
      </c>
      <c r="AY85" s="10">
        <v>1</v>
      </c>
      <c r="AZ85" s="10"/>
      <c r="BA85" s="10">
        <v>0</v>
      </c>
      <c r="BB85" s="10">
        <v>0</v>
      </c>
      <c r="BC85" s="10">
        <f t="shared" si="42"/>
        <v>0</v>
      </c>
      <c r="BD85" s="10"/>
      <c r="BE85" s="26">
        <f t="shared" si="43"/>
        <v>0</v>
      </c>
      <c r="BF85" s="104">
        <f t="shared" si="43"/>
        <v>0</v>
      </c>
      <c r="BG85" s="104"/>
      <c r="BH85" s="104">
        <f t="shared" si="44"/>
        <v>0</v>
      </c>
      <c r="BI85" s="104"/>
      <c r="BJ85" s="104">
        <f t="shared" si="45"/>
        <v>0</v>
      </c>
      <c r="BK85" s="104"/>
      <c r="BL85" s="104"/>
      <c r="BM85" s="104"/>
      <c r="BN85" s="104" t="s">
        <v>453</v>
      </c>
      <c r="BO85" s="104" t="s">
        <v>1232</v>
      </c>
      <c r="BP85" s="104" t="s">
        <v>454</v>
      </c>
      <c r="BQ85" s="104" t="s">
        <v>456</v>
      </c>
      <c r="BR85" s="104" t="s">
        <v>455</v>
      </c>
      <c r="BS85" s="104" t="s">
        <v>405</v>
      </c>
      <c r="BT85" s="55" t="s">
        <v>1142</v>
      </c>
    </row>
    <row r="86" spans="1:77" s="3" customFormat="1" ht="93.75" customHeight="1" outlineLevel="1" x14ac:dyDescent="0.25">
      <c r="A86" s="106"/>
      <c r="B86" s="59">
        <v>22</v>
      </c>
      <c r="C86" s="104" t="s">
        <v>1364</v>
      </c>
      <c r="D86" s="104" t="s">
        <v>457</v>
      </c>
      <c r="E86" s="104">
        <v>2015</v>
      </c>
      <c r="F86" s="104">
        <v>317093.14</v>
      </c>
      <c r="G86" s="104">
        <v>303613</v>
      </c>
      <c r="H86" s="104"/>
      <c r="I86" s="104"/>
      <c r="J86" s="104"/>
      <c r="K86" s="104"/>
      <c r="L86" s="104"/>
      <c r="M86" s="104">
        <v>0</v>
      </c>
      <c r="N86" s="104">
        <f t="shared" si="99"/>
        <v>0</v>
      </c>
      <c r="O86" s="104">
        <v>303613.33333333331</v>
      </c>
      <c r="P86" s="104">
        <v>1</v>
      </c>
      <c r="Q86" s="26">
        <v>273252</v>
      </c>
      <c r="R86" s="104">
        <v>1</v>
      </c>
      <c r="S86" s="104">
        <f t="shared" si="28"/>
        <v>273252</v>
      </c>
      <c r="T86" s="104"/>
      <c r="U86" s="26">
        <f t="shared" si="103"/>
        <v>273252</v>
      </c>
      <c r="V86" s="113">
        <f t="shared" si="103"/>
        <v>1</v>
      </c>
      <c r="W86" s="113"/>
      <c r="X86" s="113">
        <f t="shared" si="104"/>
        <v>0</v>
      </c>
      <c r="Y86" s="113">
        <v>273252</v>
      </c>
      <c r="Z86" s="113">
        <f t="shared" si="105"/>
        <v>1</v>
      </c>
      <c r="AA86" s="118">
        <v>-273252</v>
      </c>
      <c r="AB86" s="122"/>
      <c r="AC86" s="26">
        <f t="shared" si="32"/>
        <v>0</v>
      </c>
      <c r="AD86" s="104">
        <f t="shared" si="32"/>
        <v>0</v>
      </c>
      <c r="AE86" s="104"/>
      <c r="AF86" s="104">
        <f t="shared" si="97"/>
        <v>0</v>
      </c>
      <c r="AG86" s="104"/>
      <c r="AH86" s="104">
        <f t="shared" si="98"/>
        <v>0</v>
      </c>
      <c r="AI86" s="104">
        <f t="shared" si="100"/>
        <v>0</v>
      </c>
      <c r="AJ86" s="104">
        <v>1</v>
      </c>
      <c r="AK86" s="104"/>
      <c r="AL86" s="104">
        <v>0</v>
      </c>
      <c r="AM86" s="104">
        <v>0</v>
      </c>
      <c r="AN86" s="104">
        <f t="shared" si="36"/>
        <v>-238252</v>
      </c>
      <c r="AO86" s="104"/>
      <c r="AP86" s="113">
        <f t="shared" si="101"/>
        <v>273252</v>
      </c>
      <c r="AQ86" s="113"/>
      <c r="AR86" s="34">
        <f t="shared" si="38"/>
        <v>238252</v>
      </c>
      <c r="AS86" s="10">
        <f t="shared" si="38"/>
        <v>1</v>
      </c>
      <c r="AT86" s="10">
        <f>203252+35000</f>
        <v>238252</v>
      </c>
      <c r="AU86" s="10">
        <f t="shared" si="39"/>
        <v>1</v>
      </c>
      <c r="AV86" s="10"/>
      <c r="AW86" s="10">
        <f t="shared" si="40"/>
        <v>0</v>
      </c>
      <c r="AX86" s="10">
        <f>AR86/0.9*0.1</f>
        <v>26472.444444444445</v>
      </c>
      <c r="AY86" s="10"/>
      <c r="AZ86" s="10"/>
      <c r="BA86" s="10">
        <v>0</v>
      </c>
      <c r="BB86" s="10">
        <v>0</v>
      </c>
      <c r="BC86" s="10">
        <f t="shared" si="42"/>
        <v>0</v>
      </c>
      <c r="BD86" s="10"/>
      <c r="BE86" s="26">
        <f t="shared" si="43"/>
        <v>0</v>
      </c>
      <c r="BF86" s="104">
        <f t="shared" si="43"/>
        <v>0</v>
      </c>
      <c r="BG86" s="104"/>
      <c r="BH86" s="104">
        <f t="shared" si="44"/>
        <v>0</v>
      </c>
      <c r="BI86" s="104"/>
      <c r="BJ86" s="104">
        <f t="shared" si="45"/>
        <v>0</v>
      </c>
      <c r="BK86" s="104"/>
      <c r="BL86" s="104"/>
      <c r="BM86" s="104"/>
      <c r="BN86" s="104" t="s">
        <v>458</v>
      </c>
      <c r="BO86" s="104" t="s">
        <v>1568</v>
      </c>
      <c r="BP86" s="104" t="s">
        <v>459</v>
      </c>
      <c r="BQ86" s="104" t="s">
        <v>461</v>
      </c>
      <c r="BR86" s="104" t="s">
        <v>460</v>
      </c>
      <c r="BS86" s="104" t="s">
        <v>405</v>
      </c>
      <c r="BT86" s="55" t="s">
        <v>1138</v>
      </c>
    </row>
    <row r="87" spans="1:77" s="3" customFormat="1" ht="83.25" customHeight="1" outlineLevel="1" x14ac:dyDescent="0.25">
      <c r="A87" s="106"/>
      <c r="B87" s="59">
        <v>23</v>
      </c>
      <c r="C87" s="104" t="s">
        <v>1459</v>
      </c>
      <c r="D87" s="104" t="s">
        <v>462</v>
      </c>
      <c r="E87" s="104" t="s">
        <v>10</v>
      </c>
      <c r="F87" s="104">
        <v>541303.92000000004</v>
      </c>
      <c r="G87" s="104">
        <v>517839</v>
      </c>
      <c r="H87" s="104"/>
      <c r="I87" s="104"/>
      <c r="J87" s="104"/>
      <c r="K87" s="104"/>
      <c r="L87" s="104"/>
      <c r="M87" s="104">
        <v>0</v>
      </c>
      <c r="N87" s="104">
        <f t="shared" si="99"/>
        <v>0</v>
      </c>
      <c r="O87" s="104">
        <v>466055</v>
      </c>
      <c r="P87" s="104">
        <v>1</v>
      </c>
      <c r="Q87" s="26">
        <v>200000</v>
      </c>
      <c r="R87" s="104">
        <v>1</v>
      </c>
      <c r="S87" s="104">
        <f t="shared" si="28"/>
        <v>200000</v>
      </c>
      <c r="T87" s="104"/>
      <c r="U87" s="26">
        <f t="shared" si="103"/>
        <v>200000</v>
      </c>
      <c r="V87" s="113">
        <f t="shared" si="103"/>
        <v>1</v>
      </c>
      <c r="W87" s="113"/>
      <c r="X87" s="113">
        <f t="shared" si="104"/>
        <v>0</v>
      </c>
      <c r="Y87" s="113">
        <v>200000</v>
      </c>
      <c r="Z87" s="113">
        <f t="shared" si="105"/>
        <v>1</v>
      </c>
      <c r="AA87" s="118">
        <v>-200000</v>
      </c>
      <c r="AB87" s="122"/>
      <c r="AC87" s="26">
        <f t="shared" si="32"/>
        <v>0</v>
      </c>
      <c r="AD87" s="104">
        <f t="shared" si="32"/>
        <v>0</v>
      </c>
      <c r="AE87" s="104"/>
      <c r="AF87" s="104">
        <f t="shared" si="97"/>
        <v>0</v>
      </c>
      <c r="AG87" s="104"/>
      <c r="AH87" s="104">
        <f t="shared" si="98"/>
        <v>0</v>
      </c>
      <c r="AI87" s="104">
        <f t="shared" si="100"/>
        <v>0</v>
      </c>
      <c r="AJ87" s="104"/>
      <c r="AK87" s="104">
        <v>1</v>
      </c>
      <c r="AL87" s="104">
        <v>266055</v>
      </c>
      <c r="AM87" s="104">
        <v>1</v>
      </c>
      <c r="AN87" s="104">
        <f t="shared" si="36"/>
        <v>-165000</v>
      </c>
      <c r="AO87" s="104"/>
      <c r="AP87" s="113">
        <f t="shared" si="101"/>
        <v>200000</v>
      </c>
      <c r="AQ87" s="113"/>
      <c r="AR87" s="34">
        <f t="shared" si="38"/>
        <v>431055</v>
      </c>
      <c r="AS87" s="10">
        <f t="shared" si="38"/>
        <v>1</v>
      </c>
      <c r="AT87" s="10">
        <f>266055+130000+35000</f>
        <v>431055</v>
      </c>
      <c r="AU87" s="10">
        <f t="shared" si="39"/>
        <v>1</v>
      </c>
      <c r="AV87" s="10"/>
      <c r="AW87" s="10">
        <f t="shared" si="40"/>
        <v>0</v>
      </c>
      <c r="AX87" s="10">
        <f>AR87/0.9*0.1</f>
        <v>47895</v>
      </c>
      <c r="AY87" s="10">
        <v>1</v>
      </c>
      <c r="AZ87" s="10"/>
      <c r="BA87" s="10">
        <v>0</v>
      </c>
      <c r="BB87" s="10">
        <v>0</v>
      </c>
      <c r="BC87" s="10">
        <f t="shared" si="42"/>
        <v>0</v>
      </c>
      <c r="BD87" s="10"/>
      <c r="BE87" s="26">
        <f t="shared" ref="BE87:BF95" si="107">BG87+BI87</f>
        <v>0</v>
      </c>
      <c r="BF87" s="104">
        <f t="shared" si="107"/>
        <v>0</v>
      </c>
      <c r="BG87" s="104"/>
      <c r="BH87" s="104">
        <f t="shared" si="44"/>
        <v>0</v>
      </c>
      <c r="BI87" s="104"/>
      <c r="BJ87" s="104">
        <f t="shared" si="45"/>
        <v>0</v>
      </c>
      <c r="BK87" s="104"/>
      <c r="BL87" s="104"/>
      <c r="BM87" s="104"/>
      <c r="BN87" s="104" t="s">
        <v>1931</v>
      </c>
      <c r="BO87" s="104" t="s">
        <v>1568</v>
      </c>
      <c r="BP87" s="104" t="s">
        <v>463</v>
      </c>
      <c r="BQ87" s="104" t="s">
        <v>1367</v>
      </c>
      <c r="BR87" s="104" t="s">
        <v>466</v>
      </c>
      <c r="BS87" s="104" t="s">
        <v>464</v>
      </c>
      <c r="BT87" s="55" t="s">
        <v>465</v>
      </c>
    </row>
    <row r="88" spans="1:77" s="3" customFormat="1" ht="111" customHeight="1" outlineLevel="1" x14ac:dyDescent="0.25">
      <c r="A88" s="106"/>
      <c r="B88" s="59">
        <v>24</v>
      </c>
      <c r="C88" s="104" t="s">
        <v>467</v>
      </c>
      <c r="D88" s="104" t="s">
        <v>468</v>
      </c>
      <c r="E88" s="104">
        <v>2016</v>
      </c>
      <c r="F88" s="104">
        <v>293782.93</v>
      </c>
      <c r="G88" s="104">
        <v>267540</v>
      </c>
      <c r="H88" s="104"/>
      <c r="I88" s="104"/>
      <c r="J88" s="104"/>
      <c r="K88" s="104"/>
      <c r="L88" s="104"/>
      <c r="M88" s="104">
        <v>0</v>
      </c>
      <c r="N88" s="104">
        <f t="shared" si="99"/>
        <v>0</v>
      </c>
      <c r="O88" s="104">
        <v>240786</v>
      </c>
      <c r="P88" s="104">
        <v>1</v>
      </c>
      <c r="Q88" s="26">
        <v>0</v>
      </c>
      <c r="R88" s="104">
        <v>0</v>
      </c>
      <c r="S88" s="104">
        <f t="shared" si="28"/>
        <v>0</v>
      </c>
      <c r="T88" s="104"/>
      <c r="U88" s="26">
        <f t="shared" si="103"/>
        <v>0</v>
      </c>
      <c r="V88" s="113">
        <f t="shared" si="103"/>
        <v>0</v>
      </c>
      <c r="W88" s="113"/>
      <c r="X88" s="113">
        <f t="shared" si="104"/>
        <v>0</v>
      </c>
      <c r="Y88" s="113">
        <v>0</v>
      </c>
      <c r="Z88" s="113">
        <f t="shared" si="105"/>
        <v>0</v>
      </c>
      <c r="AA88" s="118">
        <v>0</v>
      </c>
      <c r="AB88" s="122"/>
      <c r="AC88" s="26">
        <f t="shared" si="32"/>
        <v>0</v>
      </c>
      <c r="AD88" s="104">
        <f t="shared" si="32"/>
        <v>0</v>
      </c>
      <c r="AE88" s="104"/>
      <c r="AF88" s="104">
        <f t="shared" si="97"/>
        <v>0</v>
      </c>
      <c r="AG88" s="104">
        <v>0</v>
      </c>
      <c r="AH88" s="104">
        <f t="shared" si="98"/>
        <v>0</v>
      </c>
      <c r="AI88" s="104">
        <f t="shared" si="100"/>
        <v>0</v>
      </c>
      <c r="AJ88" s="104"/>
      <c r="AK88" s="104"/>
      <c r="AL88" s="104">
        <v>240786</v>
      </c>
      <c r="AM88" s="104">
        <v>1</v>
      </c>
      <c r="AN88" s="104">
        <f t="shared" si="36"/>
        <v>0</v>
      </c>
      <c r="AO88" s="104"/>
      <c r="AP88" s="113">
        <f t="shared" si="101"/>
        <v>0</v>
      </c>
      <c r="AQ88" s="113"/>
      <c r="AR88" s="34">
        <f t="shared" si="38"/>
        <v>240786</v>
      </c>
      <c r="AS88" s="10">
        <f t="shared" si="38"/>
        <v>1</v>
      </c>
      <c r="AT88" s="10"/>
      <c r="AU88" s="10">
        <f t="shared" si="39"/>
        <v>0</v>
      </c>
      <c r="AV88" s="10">
        <v>240786</v>
      </c>
      <c r="AW88" s="10">
        <f t="shared" si="40"/>
        <v>1</v>
      </c>
      <c r="AX88" s="10">
        <f>AR88/0.9*0.1</f>
        <v>26754</v>
      </c>
      <c r="AY88" s="10">
        <v>1</v>
      </c>
      <c r="AZ88" s="10"/>
      <c r="BA88" s="10">
        <v>0</v>
      </c>
      <c r="BB88" s="10">
        <v>0</v>
      </c>
      <c r="BC88" s="10">
        <f t="shared" si="42"/>
        <v>0</v>
      </c>
      <c r="BD88" s="10"/>
      <c r="BE88" s="26">
        <f t="shared" si="107"/>
        <v>0</v>
      </c>
      <c r="BF88" s="104">
        <f t="shared" si="107"/>
        <v>0</v>
      </c>
      <c r="BG88" s="104"/>
      <c r="BH88" s="104">
        <f t="shared" si="44"/>
        <v>0</v>
      </c>
      <c r="BI88" s="104"/>
      <c r="BJ88" s="104">
        <f t="shared" si="45"/>
        <v>0</v>
      </c>
      <c r="BK88" s="104"/>
      <c r="BL88" s="104"/>
      <c r="BM88" s="104"/>
      <c r="BN88" s="104" t="s">
        <v>469</v>
      </c>
      <c r="BO88" s="104" t="s">
        <v>1568</v>
      </c>
      <c r="BP88" s="104" t="s">
        <v>470</v>
      </c>
      <c r="BQ88" s="104"/>
      <c r="BR88" s="104" t="s">
        <v>471</v>
      </c>
      <c r="BS88" s="104" t="s">
        <v>405</v>
      </c>
      <c r="BT88" s="55" t="s">
        <v>1139</v>
      </c>
    </row>
    <row r="89" spans="1:77" s="3" customFormat="1" ht="48.75" customHeight="1" outlineLevel="1" x14ac:dyDescent="0.25">
      <c r="A89" s="106"/>
      <c r="B89" s="59">
        <v>25</v>
      </c>
      <c r="C89" s="104" t="s">
        <v>472</v>
      </c>
      <c r="D89" s="104" t="s">
        <v>473</v>
      </c>
      <c r="E89" s="104">
        <v>2016</v>
      </c>
      <c r="F89" s="104">
        <v>544918</v>
      </c>
      <c r="G89" s="104">
        <v>518105</v>
      </c>
      <c r="H89" s="104"/>
      <c r="I89" s="104"/>
      <c r="J89" s="104"/>
      <c r="K89" s="104"/>
      <c r="L89" s="104"/>
      <c r="M89" s="104">
        <v>0</v>
      </c>
      <c r="N89" s="104">
        <f t="shared" si="99"/>
        <v>0</v>
      </c>
      <c r="O89" s="104">
        <v>355337</v>
      </c>
      <c r="P89" s="104">
        <v>1</v>
      </c>
      <c r="Q89" s="26">
        <v>0</v>
      </c>
      <c r="R89" s="104">
        <v>0</v>
      </c>
      <c r="S89" s="104">
        <f t="shared" si="28"/>
        <v>0</v>
      </c>
      <c r="T89" s="104"/>
      <c r="U89" s="26">
        <f t="shared" si="103"/>
        <v>0</v>
      </c>
      <c r="V89" s="113">
        <f t="shared" si="103"/>
        <v>0</v>
      </c>
      <c r="W89" s="113"/>
      <c r="X89" s="113">
        <f t="shared" si="104"/>
        <v>0</v>
      </c>
      <c r="Y89" s="113">
        <v>0</v>
      </c>
      <c r="Z89" s="113">
        <f t="shared" si="105"/>
        <v>0</v>
      </c>
      <c r="AA89" s="118">
        <v>0</v>
      </c>
      <c r="AB89" s="122"/>
      <c r="AC89" s="26">
        <f t="shared" si="32"/>
        <v>0</v>
      </c>
      <c r="AD89" s="104">
        <f t="shared" si="32"/>
        <v>0</v>
      </c>
      <c r="AE89" s="104"/>
      <c r="AF89" s="104">
        <f t="shared" si="97"/>
        <v>0</v>
      </c>
      <c r="AG89" s="104">
        <v>0</v>
      </c>
      <c r="AH89" s="104">
        <f t="shared" si="98"/>
        <v>0</v>
      </c>
      <c r="AI89" s="104">
        <f t="shared" si="100"/>
        <v>0</v>
      </c>
      <c r="AJ89" s="104"/>
      <c r="AK89" s="104"/>
      <c r="AL89" s="104">
        <v>466295</v>
      </c>
      <c r="AM89" s="104">
        <v>1</v>
      </c>
      <c r="AN89" s="104">
        <f t="shared" si="36"/>
        <v>0</v>
      </c>
      <c r="AO89" s="104"/>
      <c r="AP89" s="113">
        <f t="shared" si="101"/>
        <v>0</v>
      </c>
      <c r="AQ89" s="113"/>
      <c r="AR89" s="34">
        <f t="shared" si="38"/>
        <v>466295</v>
      </c>
      <c r="AS89" s="10">
        <f t="shared" si="38"/>
        <v>1</v>
      </c>
      <c r="AT89" s="10"/>
      <c r="AU89" s="10">
        <f t="shared" si="39"/>
        <v>0</v>
      </c>
      <c r="AV89" s="10">
        <v>466295</v>
      </c>
      <c r="AW89" s="10">
        <f t="shared" si="40"/>
        <v>1</v>
      </c>
      <c r="AX89" s="10">
        <v>51810</v>
      </c>
      <c r="AY89" s="10">
        <v>1</v>
      </c>
      <c r="AZ89" s="10"/>
      <c r="BA89" s="10">
        <v>0</v>
      </c>
      <c r="BB89" s="10">
        <v>0</v>
      </c>
      <c r="BC89" s="10">
        <f t="shared" si="42"/>
        <v>0</v>
      </c>
      <c r="BD89" s="10"/>
      <c r="BE89" s="26">
        <f t="shared" si="107"/>
        <v>0</v>
      </c>
      <c r="BF89" s="104">
        <f t="shared" si="107"/>
        <v>0</v>
      </c>
      <c r="BG89" s="104"/>
      <c r="BH89" s="104">
        <f t="shared" si="44"/>
        <v>0</v>
      </c>
      <c r="BI89" s="104"/>
      <c r="BJ89" s="104">
        <f t="shared" si="45"/>
        <v>0</v>
      </c>
      <c r="BK89" s="104"/>
      <c r="BL89" s="104"/>
      <c r="BM89" s="104"/>
      <c r="BN89" s="104" t="s">
        <v>474</v>
      </c>
      <c r="BO89" s="104" t="s">
        <v>477</v>
      </c>
      <c r="BP89" s="104" t="s">
        <v>475</v>
      </c>
      <c r="BQ89" s="104" t="s">
        <v>476</v>
      </c>
      <c r="BR89" s="104" t="s">
        <v>266</v>
      </c>
      <c r="BS89" s="104" t="s">
        <v>405</v>
      </c>
      <c r="BT89" s="55" t="s">
        <v>1137</v>
      </c>
    </row>
    <row r="90" spans="1:77" s="3" customFormat="1" ht="48.75" customHeight="1" outlineLevel="1" x14ac:dyDescent="0.25">
      <c r="A90" s="106"/>
      <c r="B90" s="59">
        <v>26</v>
      </c>
      <c r="C90" s="104" t="s">
        <v>478</v>
      </c>
      <c r="D90" s="104" t="s">
        <v>479</v>
      </c>
      <c r="E90" s="104">
        <v>2016</v>
      </c>
      <c r="F90" s="104">
        <v>773546</v>
      </c>
      <c r="G90" s="104">
        <v>781401</v>
      </c>
      <c r="H90" s="104"/>
      <c r="I90" s="104"/>
      <c r="J90" s="104"/>
      <c r="K90" s="104"/>
      <c r="L90" s="104"/>
      <c r="M90" s="104">
        <v>0</v>
      </c>
      <c r="N90" s="104">
        <f t="shared" si="99"/>
        <v>0</v>
      </c>
      <c r="O90" s="104">
        <v>270000</v>
      </c>
      <c r="P90" s="104">
        <v>1</v>
      </c>
      <c r="Q90" s="26">
        <v>0</v>
      </c>
      <c r="R90" s="104">
        <v>0</v>
      </c>
      <c r="S90" s="104">
        <f t="shared" si="28"/>
        <v>0</v>
      </c>
      <c r="T90" s="104"/>
      <c r="U90" s="26">
        <f t="shared" si="103"/>
        <v>0</v>
      </c>
      <c r="V90" s="113">
        <f t="shared" si="103"/>
        <v>0</v>
      </c>
      <c r="W90" s="113"/>
      <c r="X90" s="113">
        <f t="shared" si="104"/>
        <v>0</v>
      </c>
      <c r="Y90" s="113">
        <v>0</v>
      </c>
      <c r="Z90" s="113">
        <f t="shared" si="105"/>
        <v>0</v>
      </c>
      <c r="AA90" s="118">
        <v>0</v>
      </c>
      <c r="AB90" s="122"/>
      <c r="AC90" s="26">
        <f t="shared" si="32"/>
        <v>0</v>
      </c>
      <c r="AD90" s="104">
        <f t="shared" si="32"/>
        <v>0</v>
      </c>
      <c r="AE90" s="104"/>
      <c r="AF90" s="104">
        <f t="shared" si="97"/>
        <v>0</v>
      </c>
      <c r="AG90" s="104">
        <v>0</v>
      </c>
      <c r="AH90" s="104">
        <f t="shared" si="98"/>
        <v>0</v>
      </c>
      <c r="AI90" s="104">
        <f t="shared" si="100"/>
        <v>0</v>
      </c>
      <c r="AJ90" s="104"/>
      <c r="AK90" s="104"/>
      <c r="AL90" s="104">
        <v>703261</v>
      </c>
      <c r="AM90" s="104">
        <v>1</v>
      </c>
      <c r="AN90" s="104">
        <f t="shared" si="36"/>
        <v>0</v>
      </c>
      <c r="AO90" s="104"/>
      <c r="AP90" s="113">
        <f t="shared" si="101"/>
        <v>0</v>
      </c>
      <c r="AQ90" s="113"/>
      <c r="AR90" s="34">
        <f t="shared" si="38"/>
        <v>703261</v>
      </c>
      <c r="AS90" s="10">
        <f t="shared" si="38"/>
        <v>1</v>
      </c>
      <c r="AT90" s="10">
        <v>703261</v>
      </c>
      <c r="AU90" s="10">
        <f t="shared" si="39"/>
        <v>1</v>
      </c>
      <c r="AV90" s="10"/>
      <c r="AW90" s="10">
        <f t="shared" si="40"/>
        <v>0</v>
      </c>
      <c r="AX90" s="10">
        <f>AR90/0.9*0.1</f>
        <v>78140.111111111109</v>
      </c>
      <c r="AY90" s="10">
        <v>1</v>
      </c>
      <c r="AZ90" s="10"/>
      <c r="BA90" s="10">
        <v>0</v>
      </c>
      <c r="BB90" s="10">
        <v>0</v>
      </c>
      <c r="BC90" s="10">
        <f t="shared" si="42"/>
        <v>0</v>
      </c>
      <c r="BD90" s="10"/>
      <c r="BE90" s="26">
        <f t="shared" si="107"/>
        <v>0</v>
      </c>
      <c r="BF90" s="104">
        <f t="shared" si="107"/>
        <v>0</v>
      </c>
      <c r="BG90" s="104"/>
      <c r="BH90" s="104">
        <f t="shared" si="44"/>
        <v>0</v>
      </c>
      <c r="BI90" s="104"/>
      <c r="BJ90" s="104">
        <f t="shared" si="45"/>
        <v>0</v>
      </c>
      <c r="BK90" s="104"/>
      <c r="BL90" s="104"/>
      <c r="BM90" s="104"/>
      <c r="BN90" s="104" t="s">
        <v>480</v>
      </c>
      <c r="BO90" s="104" t="s">
        <v>1513</v>
      </c>
      <c r="BP90" s="104" t="s">
        <v>481</v>
      </c>
      <c r="BQ90" s="104" t="s">
        <v>483</v>
      </c>
      <c r="BR90" s="104" t="s">
        <v>531</v>
      </c>
      <c r="BS90" s="104" t="s">
        <v>482</v>
      </c>
      <c r="BT90" s="55" t="s">
        <v>1131</v>
      </c>
    </row>
    <row r="91" spans="1:77" s="3" customFormat="1" ht="11.25" outlineLevel="1" x14ac:dyDescent="0.25">
      <c r="A91" s="106"/>
      <c r="B91" s="59">
        <v>4</v>
      </c>
      <c r="C91" s="11" t="s">
        <v>8</v>
      </c>
      <c r="D91" s="104"/>
      <c r="E91" s="104"/>
      <c r="F91" s="104">
        <f t="shared" ref="F91:N91" si="108">SUM(F92:F95)</f>
        <v>2778869</v>
      </c>
      <c r="G91" s="104">
        <f t="shared" si="108"/>
        <v>2688707</v>
      </c>
      <c r="H91" s="104">
        <f t="shared" si="108"/>
        <v>0</v>
      </c>
      <c r="I91" s="104">
        <f t="shared" si="108"/>
        <v>0</v>
      </c>
      <c r="J91" s="104">
        <f t="shared" si="108"/>
        <v>0</v>
      </c>
      <c r="K91" s="104">
        <f t="shared" si="108"/>
        <v>0</v>
      </c>
      <c r="L91" s="104">
        <f t="shared" si="108"/>
        <v>0</v>
      </c>
      <c r="M91" s="104">
        <f t="shared" si="108"/>
        <v>0</v>
      </c>
      <c r="N91" s="104">
        <f t="shared" si="108"/>
        <v>55555.555555555555</v>
      </c>
      <c r="O91" s="104">
        <v>2072955</v>
      </c>
      <c r="P91" s="104">
        <v>5</v>
      </c>
      <c r="Q91" s="26">
        <v>850319</v>
      </c>
      <c r="R91" s="104">
        <v>4</v>
      </c>
      <c r="S91" s="104">
        <f t="shared" si="28"/>
        <v>800319</v>
      </c>
      <c r="T91" s="104"/>
      <c r="U91" s="26">
        <f t="shared" ref="U91:AB91" si="109">SUM(U92:U95)</f>
        <v>850319</v>
      </c>
      <c r="V91" s="67">
        <f t="shared" si="109"/>
        <v>4</v>
      </c>
      <c r="W91" s="67">
        <f t="shared" si="109"/>
        <v>0</v>
      </c>
      <c r="X91" s="67">
        <f t="shared" si="109"/>
        <v>0</v>
      </c>
      <c r="Y91" s="67">
        <f t="shared" si="109"/>
        <v>850319</v>
      </c>
      <c r="Z91" s="67">
        <f t="shared" si="109"/>
        <v>4</v>
      </c>
      <c r="AA91" s="67">
        <f t="shared" si="109"/>
        <v>-800319</v>
      </c>
      <c r="AB91" s="67">
        <f t="shared" si="109"/>
        <v>0</v>
      </c>
      <c r="AC91" s="26">
        <f t="shared" ref="AC91:AQ91" si="110">SUM(AC92:AC95)</f>
        <v>50000</v>
      </c>
      <c r="AD91" s="104">
        <f t="shared" si="110"/>
        <v>1</v>
      </c>
      <c r="AE91" s="104">
        <f t="shared" si="110"/>
        <v>0</v>
      </c>
      <c r="AF91" s="104">
        <f t="shared" si="110"/>
        <v>0</v>
      </c>
      <c r="AG91" s="104">
        <f t="shared" si="110"/>
        <v>50000</v>
      </c>
      <c r="AH91" s="104">
        <f t="shared" si="110"/>
        <v>1</v>
      </c>
      <c r="AI91" s="104">
        <f t="shared" si="110"/>
        <v>5555.5555555555557</v>
      </c>
      <c r="AJ91" s="113">
        <f t="shared" si="110"/>
        <v>2</v>
      </c>
      <c r="AK91" s="113">
        <f t="shared" si="110"/>
        <v>2</v>
      </c>
      <c r="AL91" s="113">
        <f t="shared" si="110"/>
        <v>1569517</v>
      </c>
      <c r="AM91" s="113">
        <f t="shared" si="110"/>
        <v>2</v>
      </c>
      <c r="AN91" s="113">
        <f t="shared" si="110"/>
        <v>-850319</v>
      </c>
      <c r="AO91" s="113">
        <f t="shared" si="110"/>
        <v>0</v>
      </c>
      <c r="AP91" s="113">
        <f t="shared" si="110"/>
        <v>800319</v>
      </c>
      <c r="AQ91" s="113">
        <f t="shared" si="110"/>
        <v>0</v>
      </c>
      <c r="AR91" s="26">
        <f t="shared" ref="AR91:AZ91" si="111">SUM(AR92:AR95)</f>
        <v>2419836</v>
      </c>
      <c r="AS91" s="104">
        <f t="shared" si="111"/>
        <v>4</v>
      </c>
      <c r="AT91" s="104">
        <f t="shared" si="111"/>
        <v>0</v>
      </c>
      <c r="AU91" s="104">
        <f t="shared" si="111"/>
        <v>0</v>
      </c>
      <c r="AV91" s="104">
        <f t="shared" si="111"/>
        <v>2419836</v>
      </c>
      <c r="AW91" s="104">
        <f t="shared" si="111"/>
        <v>4</v>
      </c>
      <c r="AX91" s="104">
        <f t="shared" si="111"/>
        <v>246649.11111111109</v>
      </c>
      <c r="AY91" s="104">
        <f t="shared" si="111"/>
        <v>2</v>
      </c>
      <c r="AZ91" s="104">
        <f t="shared" si="111"/>
        <v>0</v>
      </c>
      <c r="BA91" s="104">
        <v>1505605</v>
      </c>
      <c r="BB91" s="104">
        <v>6</v>
      </c>
      <c r="BC91" s="10">
        <f t="shared" si="42"/>
        <v>1505605</v>
      </c>
      <c r="BD91" s="104"/>
      <c r="BE91" s="26">
        <f t="shared" ref="BE91:BT91" si="112">SUM(BE92:BE95)</f>
        <v>0</v>
      </c>
      <c r="BF91" s="104">
        <f t="shared" si="112"/>
        <v>0</v>
      </c>
      <c r="BG91" s="104">
        <f t="shared" si="112"/>
        <v>0</v>
      </c>
      <c r="BH91" s="104">
        <f t="shared" si="112"/>
        <v>0</v>
      </c>
      <c r="BI91" s="104">
        <f t="shared" si="112"/>
        <v>0</v>
      </c>
      <c r="BJ91" s="104">
        <f t="shared" si="112"/>
        <v>0</v>
      </c>
      <c r="BK91" s="104">
        <f t="shared" si="112"/>
        <v>0</v>
      </c>
      <c r="BL91" s="104">
        <f t="shared" si="112"/>
        <v>0</v>
      </c>
      <c r="BM91" s="104">
        <f t="shared" si="112"/>
        <v>0</v>
      </c>
      <c r="BN91" s="104">
        <f t="shared" si="112"/>
        <v>0</v>
      </c>
      <c r="BO91" s="104">
        <f t="shared" si="112"/>
        <v>0</v>
      </c>
      <c r="BP91" s="104">
        <f t="shared" si="112"/>
        <v>0</v>
      </c>
      <c r="BQ91" s="104">
        <f t="shared" si="112"/>
        <v>0</v>
      </c>
      <c r="BR91" s="104">
        <f t="shared" si="112"/>
        <v>0</v>
      </c>
      <c r="BS91" s="104">
        <f t="shared" si="112"/>
        <v>0</v>
      </c>
      <c r="BT91" s="55">
        <f t="shared" si="112"/>
        <v>0</v>
      </c>
    </row>
    <row r="92" spans="1:77" s="3" customFormat="1" ht="61.5" customHeight="1" outlineLevel="1" x14ac:dyDescent="0.25">
      <c r="A92" s="106"/>
      <c r="B92" s="107">
        <v>1</v>
      </c>
      <c r="C92" s="104" t="s">
        <v>485</v>
      </c>
      <c r="D92" s="104" t="s">
        <v>486</v>
      </c>
      <c r="E92" s="104" t="s">
        <v>324</v>
      </c>
      <c r="F92" s="104">
        <v>283271</v>
      </c>
      <c r="G92" s="104">
        <v>272043</v>
      </c>
      <c r="H92" s="104"/>
      <c r="I92" s="104"/>
      <c r="J92" s="104"/>
      <c r="K92" s="104"/>
      <c r="L92" s="104"/>
      <c r="M92" s="104">
        <v>0</v>
      </c>
      <c r="N92" s="104">
        <f>AC92+AI92</f>
        <v>0</v>
      </c>
      <c r="O92" s="104">
        <v>244839</v>
      </c>
      <c r="P92" s="104">
        <v>1</v>
      </c>
      <c r="Q92" s="26">
        <v>244839</v>
      </c>
      <c r="R92" s="104">
        <v>1</v>
      </c>
      <c r="S92" s="104">
        <f t="shared" si="28"/>
        <v>244839</v>
      </c>
      <c r="T92" s="104"/>
      <c r="U92" s="26">
        <f t="shared" ref="U92:V95" si="113">W92+Y92</f>
        <v>244839</v>
      </c>
      <c r="V92" s="113">
        <f t="shared" si="113"/>
        <v>1</v>
      </c>
      <c r="W92" s="113"/>
      <c r="X92" s="113">
        <f t="shared" ref="X92:X95" si="114">IF(W92,1,0)</f>
        <v>0</v>
      </c>
      <c r="Y92" s="113">
        <v>244839</v>
      </c>
      <c r="Z92" s="113">
        <f t="shared" ref="Z92:Z95" si="115">IF(Y92,1,0)</f>
        <v>1</v>
      </c>
      <c r="AA92" s="118">
        <v>-244839</v>
      </c>
      <c r="AB92" s="122"/>
      <c r="AC92" s="26">
        <f t="shared" ref="AC92:AD95" si="116">AE92+AG92</f>
        <v>0</v>
      </c>
      <c r="AD92" s="104">
        <f t="shared" si="116"/>
        <v>0</v>
      </c>
      <c r="AE92" s="104"/>
      <c r="AF92" s="104">
        <f t="shared" ref="AF92:AF95" si="117">IF(AE92,1,0)</f>
        <v>0</v>
      </c>
      <c r="AG92" s="104"/>
      <c r="AH92" s="104">
        <f t="shared" ref="AH92:AH95" si="118">IF(AG92,1,0)</f>
        <v>0</v>
      </c>
      <c r="AI92" s="104">
        <f t="shared" ref="AI92:AI95" si="119">AC92/0.9*0.1</f>
        <v>0</v>
      </c>
      <c r="AJ92" s="104">
        <v>1</v>
      </c>
      <c r="AK92" s="104"/>
      <c r="AL92" s="104">
        <v>0</v>
      </c>
      <c r="AM92" s="104"/>
      <c r="AN92" s="104">
        <f t="shared" si="36"/>
        <v>-244839</v>
      </c>
      <c r="AO92" s="104"/>
      <c r="AP92" s="113">
        <f t="shared" si="101"/>
        <v>244839</v>
      </c>
      <c r="AQ92" s="113"/>
      <c r="AR92" s="34">
        <f t="shared" ref="AR92:AS95" si="120">AT92+AV92</f>
        <v>244839</v>
      </c>
      <c r="AS92" s="10">
        <f t="shared" si="120"/>
        <v>1</v>
      </c>
      <c r="AT92" s="10"/>
      <c r="AU92" s="10">
        <v>0</v>
      </c>
      <c r="AV92" s="10">
        <f>244839</f>
        <v>244839</v>
      </c>
      <c r="AW92" s="10">
        <v>1</v>
      </c>
      <c r="AX92" s="10">
        <f t="shared" ref="AX92:AX95" si="121">AR92/0.9*0.1</f>
        <v>27204.333333333332</v>
      </c>
      <c r="AY92" s="10"/>
      <c r="AZ92" s="10"/>
      <c r="BA92" s="10">
        <v>0</v>
      </c>
      <c r="BB92" s="10">
        <v>0</v>
      </c>
      <c r="BC92" s="10">
        <f t="shared" si="42"/>
        <v>0</v>
      </c>
      <c r="BD92" s="10"/>
      <c r="BE92" s="26">
        <f t="shared" si="107"/>
        <v>0</v>
      </c>
      <c r="BF92" s="104">
        <f t="shared" si="107"/>
        <v>0</v>
      </c>
      <c r="BG92" s="104"/>
      <c r="BH92" s="104">
        <f t="shared" ref="BH92:BH95" si="122">IF(BG92,1,0)</f>
        <v>0</v>
      </c>
      <c r="BI92" s="104"/>
      <c r="BJ92" s="104">
        <f t="shared" ref="BJ92:BJ95" si="123">IF(BI92,1,0)</f>
        <v>0</v>
      </c>
      <c r="BK92" s="104"/>
      <c r="BL92" s="104"/>
      <c r="BM92" s="104"/>
      <c r="BN92" s="104" t="s">
        <v>487</v>
      </c>
      <c r="BO92" s="104" t="s">
        <v>1569</v>
      </c>
      <c r="BP92" s="104" t="s">
        <v>488</v>
      </c>
      <c r="BQ92" s="104" t="s">
        <v>490</v>
      </c>
      <c r="BR92" s="104" t="s">
        <v>489</v>
      </c>
      <c r="BS92" s="104" t="s">
        <v>405</v>
      </c>
      <c r="BT92" s="55" t="s">
        <v>1133</v>
      </c>
    </row>
    <row r="93" spans="1:77" s="3" customFormat="1" ht="48.75" customHeight="1" outlineLevel="1" x14ac:dyDescent="0.25">
      <c r="A93" s="106"/>
      <c r="B93" s="107">
        <v>2</v>
      </c>
      <c r="C93" s="104" t="s">
        <v>491</v>
      </c>
      <c r="D93" s="104" t="s">
        <v>492</v>
      </c>
      <c r="E93" s="104" t="s">
        <v>10</v>
      </c>
      <c r="F93" s="104">
        <v>661226</v>
      </c>
      <c r="G93" s="104">
        <v>624266</v>
      </c>
      <c r="H93" s="104"/>
      <c r="I93" s="104"/>
      <c r="J93" s="104"/>
      <c r="K93" s="104"/>
      <c r="L93" s="104"/>
      <c r="M93" s="104">
        <v>0</v>
      </c>
      <c r="N93" s="104">
        <f t="shared" ref="N93:N95" si="124">AC93+AI93</f>
        <v>55555.555555555555</v>
      </c>
      <c r="O93" s="104">
        <v>561839</v>
      </c>
      <c r="P93" s="104">
        <v>1</v>
      </c>
      <c r="Q93" s="26">
        <v>100000</v>
      </c>
      <c r="R93" s="104">
        <v>1</v>
      </c>
      <c r="S93" s="104">
        <f t="shared" si="28"/>
        <v>50000</v>
      </c>
      <c r="T93" s="104"/>
      <c r="U93" s="26">
        <f t="shared" si="113"/>
        <v>100000</v>
      </c>
      <c r="V93" s="113">
        <f t="shared" si="113"/>
        <v>1</v>
      </c>
      <c r="W93" s="113"/>
      <c r="X93" s="113">
        <f t="shared" si="114"/>
        <v>0</v>
      </c>
      <c r="Y93" s="113">
        <v>100000</v>
      </c>
      <c r="Z93" s="113">
        <f t="shared" si="115"/>
        <v>1</v>
      </c>
      <c r="AA93" s="118">
        <v>-50000</v>
      </c>
      <c r="AB93" s="122"/>
      <c r="AC93" s="26">
        <f t="shared" si="116"/>
        <v>50000</v>
      </c>
      <c r="AD93" s="104">
        <f t="shared" si="116"/>
        <v>1</v>
      </c>
      <c r="AE93" s="104"/>
      <c r="AF93" s="104">
        <f t="shared" si="117"/>
        <v>0</v>
      </c>
      <c r="AG93" s="104">
        <v>50000</v>
      </c>
      <c r="AH93" s="104">
        <f t="shared" si="118"/>
        <v>1</v>
      </c>
      <c r="AI93" s="104">
        <f t="shared" si="119"/>
        <v>5555.5555555555557</v>
      </c>
      <c r="AJ93" s="104"/>
      <c r="AK93" s="104">
        <v>1</v>
      </c>
      <c r="AL93" s="104">
        <v>461839</v>
      </c>
      <c r="AM93" s="104">
        <v>1</v>
      </c>
      <c r="AN93" s="104">
        <f t="shared" si="36"/>
        <v>-100000</v>
      </c>
      <c r="AO93" s="104"/>
      <c r="AP93" s="113">
        <f t="shared" si="101"/>
        <v>50000</v>
      </c>
      <c r="AQ93" s="113"/>
      <c r="AR93" s="34">
        <f t="shared" si="120"/>
        <v>561839</v>
      </c>
      <c r="AS93" s="10">
        <f t="shared" si="120"/>
        <v>1</v>
      </c>
      <c r="AT93" s="10"/>
      <c r="AU93" s="10">
        <f t="shared" ref="AU93:AU95" si="125">IF(AT93,1,0)</f>
        <v>0</v>
      </c>
      <c r="AV93" s="10">
        <f>461839+100000</f>
        <v>561839</v>
      </c>
      <c r="AW93" s="10">
        <f t="shared" ref="AW93:AW95" si="126">IF(AV93,1,0)</f>
        <v>1</v>
      </c>
      <c r="AX93" s="10">
        <f t="shared" si="121"/>
        <v>62426.555555555555</v>
      </c>
      <c r="AY93" s="10">
        <v>1</v>
      </c>
      <c r="AZ93" s="10"/>
      <c r="BA93" s="10">
        <v>0</v>
      </c>
      <c r="BB93" s="10">
        <v>0</v>
      </c>
      <c r="BC93" s="10">
        <f t="shared" si="42"/>
        <v>0</v>
      </c>
      <c r="BD93" s="10"/>
      <c r="BE93" s="26">
        <f t="shared" si="107"/>
        <v>0</v>
      </c>
      <c r="BF93" s="104">
        <f t="shared" si="107"/>
        <v>0</v>
      </c>
      <c r="BG93" s="104"/>
      <c r="BH93" s="104">
        <f t="shared" si="122"/>
        <v>0</v>
      </c>
      <c r="BI93" s="104"/>
      <c r="BJ93" s="104">
        <f t="shared" si="123"/>
        <v>0</v>
      </c>
      <c r="BK93" s="104">
        <f>BE93/0.9*0.1</f>
        <v>0</v>
      </c>
      <c r="BL93" s="104"/>
      <c r="BM93" s="104"/>
      <c r="BN93" s="104" t="s">
        <v>493</v>
      </c>
      <c r="BO93" s="104" t="s">
        <v>1569</v>
      </c>
      <c r="BP93" s="104" t="s">
        <v>494</v>
      </c>
      <c r="BQ93" s="104" t="s">
        <v>1570</v>
      </c>
      <c r="BR93" s="104" t="s">
        <v>1571</v>
      </c>
      <c r="BS93" s="104" t="s">
        <v>495</v>
      </c>
      <c r="BT93" s="55" t="s">
        <v>1135</v>
      </c>
    </row>
    <row r="94" spans="1:77" s="3" customFormat="1" ht="51.75" customHeight="1" outlineLevel="1" x14ac:dyDescent="0.25">
      <c r="A94" s="106"/>
      <c r="B94" s="107">
        <v>3</v>
      </c>
      <c r="C94" s="104" t="s">
        <v>496</v>
      </c>
      <c r="D94" s="104" t="s">
        <v>497</v>
      </c>
      <c r="E94" s="104" t="s">
        <v>10</v>
      </c>
      <c r="F94" s="104">
        <v>1452976</v>
      </c>
      <c r="G94" s="104">
        <v>1452976</v>
      </c>
      <c r="H94" s="104"/>
      <c r="I94" s="104"/>
      <c r="J94" s="104"/>
      <c r="K94" s="104"/>
      <c r="L94" s="104"/>
      <c r="M94" s="104">
        <f>AG94+AI94</f>
        <v>0</v>
      </c>
      <c r="N94" s="104">
        <f t="shared" si="124"/>
        <v>0</v>
      </c>
      <c r="O94" s="104">
        <v>653839</v>
      </c>
      <c r="P94" s="104">
        <v>1</v>
      </c>
      <c r="Q94" s="26">
        <v>200000</v>
      </c>
      <c r="R94" s="104">
        <v>1</v>
      </c>
      <c r="S94" s="104">
        <f t="shared" si="28"/>
        <v>200000</v>
      </c>
      <c r="T94" s="104"/>
      <c r="U94" s="26">
        <f t="shared" si="113"/>
        <v>200000</v>
      </c>
      <c r="V94" s="113">
        <f t="shared" si="113"/>
        <v>1</v>
      </c>
      <c r="W94" s="113"/>
      <c r="X94" s="113">
        <f t="shared" si="114"/>
        <v>0</v>
      </c>
      <c r="Y94" s="113">
        <v>200000</v>
      </c>
      <c r="Z94" s="113">
        <f t="shared" si="115"/>
        <v>1</v>
      </c>
      <c r="AA94" s="118">
        <v>-200000</v>
      </c>
      <c r="AB94" s="122"/>
      <c r="AC94" s="26">
        <f t="shared" si="116"/>
        <v>0</v>
      </c>
      <c r="AD94" s="104">
        <f t="shared" si="116"/>
        <v>0</v>
      </c>
      <c r="AE94" s="104"/>
      <c r="AF94" s="104">
        <f t="shared" si="117"/>
        <v>0</v>
      </c>
      <c r="AG94" s="104"/>
      <c r="AH94" s="104">
        <f t="shared" si="118"/>
        <v>0</v>
      </c>
      <c r="AI94" s="104">
        <f t="shared" si="119"/>
        <v>0</v>
      </c>
      <c r="AJ94" s="104"/>
      <c r="AK94" s="104">
        <v>1</v>
      </c>
      <c r="AL94" s="104">
        <v>1107678</v>
      </c>
      <c r="AM94" s="104">
        <v>1</v>
      </c>
      <c r="AN94" s="104">
        <f t="shared" si="36"/>
        <v>-200000</v>
      </c>
      <c r="AO94" s="104"/>
      <c r="AP94" s="113">
        <f t="shared" si="101"/>
        <v>200000</v>
      </c>
      <c r="AQ94" s="113"/>
      <c r="AR94" s="34">
        <f t="shared" si="120"/>
        <v>1307678</v>
      </c>
      <c r="AS94" s="10">
        <f t="shared" si="120"/>
        <v>1</v>
      </c>
      <c r="AT94" s="10"/>
      <c r="AU94" s="10">
        <f t="shared" si="125"/>
        <v>0</v>
      </c>
      <c r="AV94" s="10">
        <f>1107678+200000</f>
        <v>1307678</v>
      </c>
      <c r="AW94" s="10">
        <f t="shared" si="126"/>
        <v>1</v>
      </c>
      <c r="AX94" s="10">
        <v>123076</v>
      </c>
      <c r="AY94" s="10">
        <v>1</v>
      </c>
      <c r="AZ94" s="10"/>
      <c r="BA94" s="10">
        <v>0</v>
      </c>
      <c r="BB94" s="10">
        <v>0</v>
      </c>
      <c r="BC94" s="10">
        <f t="shared" si="42"/>
        <v>0</v>
      </c>
      <c r="BD94" s="10"/>
      <c r="BE94" s="26">
        <f t="shared" si="107"/>
        <v>0</v>
      </c>
      <c r="BF94" s="104">
        <f t="shared" si="107"/>
        <v>0</v>
      </c>
      <c r="BG94" s="104"/>
      <c r="BH94" s="104">
        <f t="shared" si="122"/>
        <v>0</v>
      </c>
      <c r="BI94" s="104"/>
      <c r="BJ94" s="104">
        <f t="shared" si="123"/>
        <v>0</v>
      </c>
      <c r="BK94" s="104"/>
      <c r="BL94" s="104"/>
      <c r="BM94" s="104"/>
      <c r="BN94" s="104" t="s">
        <v>498</v>
      </c>
      <c r="BO94" s="104" t="s">
        <v>1569</v>
      </c>
      <c r="BP94" s="104" t="s">
        <v>499</v>
      </c>
      <c r="BQ94" s="104" t="s">
        <v>501</v>
      </c>
      <c r="BR94" s="104" t="s">
        <v>500</v>
      </c>
      <c r="BS94" s="104" t="s">
        <v>1369</v>
      </c>
      <c r="BT94" s="55" t="s">
        <v>1140</v>
      </c>
    </row>
    <row r="95" spans="1:77" s="3" customFormat="1" ht="53.25" customHeight="1" outlineLevel="1" x14ac:dyDescent="0.25">
      <c r="A95" s="106"/>
      <c r="B95" s="107">
        <v>4</v>
      </c>
      <c r="C95" s="104" t="s">
        <v>1368</v>
      </c>
      <c r="D95" s="41" t="s">
        <v>1124</v>
      </c>
      <c r="E95" s="41">
        <v>2015</v>
      </c>
      <c r="F95" s="41">
        <v>381396</v>
      </c>
      <c r="G95" s="41">
        <v>339422</v>
      </c>
      <c r="H95" s="41"/>
      <c r="I95" s="41"/>
      <c r="J95" s="41"/>
      <c r="K95" s="41"/>
      <c r="L95" s="41"/>
      <c r="M95" s="104">
        <f>AG95+AI95</f>
        <v>0</v>
      </c>
      <c r="N95" s="104">
        <f t="shared" si="124"/>
        <v>0</v>
      </c>
      <c r="O95" s="104">
        <v>305480</v>
      </c>
      <c r="P95" s="104">
        <v>1</v>
      </c>
      <c r="Q95" s="26">
        <v>305480</v>
      </c>
      <c r="R95" s="104">
        <v>1</v>
      </c>
      <c r="S95" s="104">
        <f t="shared" si="28"/>
        <v>305480</v>
      </c>
      <c r="T95" s="104"/>
      <c r="U95" s="26">
        <f t="shared" si="113"/>
        <v>305480</v>
      </c>
      <c r="V95" s="113">
        <f t="shared" si="113"/>
        <v>1</v>
      </c>
      <c r="W95" s="113"/>
      <c r="X95" s="113">
        <f t="shared" si="114"/>
        <v>0</v>
      </c>
      <c r="Y95" s="113">
        <v>305480</v>
      </c>
      <c r="Z95" s="113">
        <f t="shared" si="115"/>
        <v>1</v>
      </c>
      <c r="AA95" s="118">
        <v>-305480</v>
      </c>
      <c r="AB95" s="122"/>
      <c r="AC95" s="26">
        <f t="shared" si="116"/>
        <v>0</v>
      </c>
      <c r="AD95" s="104">
        <f t="shared" si="116"/>
        <v>0</v>
      </c>
      <c r="AE95" s="104"/>
      <c r="AF95" s="104">
        <f t="shared" si="117"/>
        <v>0</v>
      </c>
      <c r="AG95" s="104"/>
      <c r="AH95" s="104">
        <f t="shared" si="118"/>
        <v>0</v>
      </c>
      <c r="AI95" s="104">
        <f t="shared" si="119"/>
        <v>0</v>
      </c>
      <c r="AJ95" s="104">
        <v>1</v>
      </c>
      <c r="AK95" s="104"/>
      <c r="AL95" s="104">
        <v>0</v>
      </c>
      <c r="AM95" s="104">
        <v>0</v>
      </c>
      <c r="AN95" s="104">
        <f t="shared" si="36"/>
        <v>-305480</v>
      </c>
      <c r="AO95" s="104"/>
      <c r="AP95" s="113">
        <f t="shared" si="101"/>
        <v>305480</v>
      </c>
      <c r="AQ95" s="113"/>
      <c r="AR95" s="34">
        <f t="shared" si="120"/>
        <v>305480</v>
      </c>
      <c r="AS95" s="10">
        <f t="shared" si="120"/>
        <v>1</v>
      </c>
      <c r="AT95" s="10"/>
      <c r="AU95" s="10">
        <f t="shared" si="125"/>
        <v>0</v>
      </c>
      <c r="AV95" s="10">
        <f>305480</f>
        <v>305480</v>
      </c>
      <c r="AW95" s="10">
        <f t="shared" si="126"/>
        <v>1</v>
      </c>
      <c r="AX95" s="10">
        <f t="shared" si="121"/>
        <v>33942.222222222219</v>
      </c>
      <c r="AY95" s="10"/>
      <c r="AZ95" s="10"/>
      <c r="BA95" s="10">
        <v>0</v>
      </c>
      <c r="BB95" s="10">
        <v>0</v>
      </c>
      <c r="BC95" s="10">
        <f t="shared" si="42"/>
        <v>0</v>
      </c>
      <c r="BD95" s="10"/>
      <c r="BE95" s="26">
        <f t="shared" si="107"/>
        <v>0</v>
      </c>
      <c r="BF95" s="104">
        <f t="shared" si="107"/>
        <v>0</v>
      </c>
      <c r="BG95" s="104"/>
      <c r="BH95" s="104">
        <f t="shared" si="122"/>
        <v>0</v>
      </c>
      <c r="BI95" s="104"/>
      <c r="BJ95" s="104">
        <f t="shared" si="123"/>
        <v>0</v>
      </c>
      <c r="BK95" s="104"/>
      <c r="BL95" s="104"/>
      <c r="BM95" s="104"/>
      <c r="BN95" s="104" t="s">
        <v>1126</v>
      </c>
      <c r="BO95" s="104" t="s">
        <v>1569</v>
      </c>
      <c r="BP95" s="104" t="s">
        <v>1125</v>
      </c>
      <c r="BQ95" s="104" t="s">
        <v>1127</v>
      </c>
      <c r="BR95" s="104" t="s">
        <v>1128</v>
      </c>
      <c r="BS95" s="104" t="s">
        <v>405</v>
      </c>
      <c r="BT95" s="55" t="s">
        <v>1129</v>
      </c>
    </row>
    <row r="96" spans="1:77" s="35" customFormat="1" ht="11.25" x14ac:dyDescent="0.25">
      <c r="A96" s="48"/>
      <c r="B96" s="57">
        <v>15</v>
      </c>
      <c r="C96" s="26" t="s">
        <v>534</v>
      </c>
      <c r="D96" s="26"/>
      <c r="E96" s="26"/>
      <c r="F96" s="26">
        <f>F97</f>
        <v>5771587.4000000004</v>
      </c>
      <c r="G96" s="26">
        <f t="shared" ref="G96:BT96" si="127">G97</f>
        <v>5652384.5199999996</v>
      </c>
      <c r="H96" s="26">
        <f t="shared" si="127"/>
        <v>885357</v>
      </c>
      <c r="I96" s="26">
        <f t="shared" si="127"/>
        <v>78278</v>
      </c>
      <c r="J96" s="26">
        <f t="shared" si="127"/>
        <v>0</v>
      </c>
      <c r="K96" s="26">
        <f t="shared" si="127"/>
        <v>0</v>
      </c>
      <c r="L96" s="26">
        <f t="shared" si="127"/>
        <v>0</v>
      </c>
      <c r="M96" s="26">
        <f t="shared" si="127"/>
        <v>1796213</v>
      </c>
      <c r="N96" s="26">
        <f t="shared" si="127"/>
        <v>660724.28571428568</v>
      </c>
      <c r="O96" s="26">
        <f t="shared" si="127"/>
        <v>2484219</v>
      </c>
      <c r="P96" s="26">
        <f t="shared" si="127"/>
        <v>10</v>
      </c>
      <c r="Q96" s="26">
        <f t="shared" si="127"/>
        <v>1094133</v>
      </c>
      <c r="R96" s="26">
        <f t="shared" si="127"/>
        <v>8</v>
      </c>
      <c r="S96" s="26">
        <f t="shared" si="127"/>
        <v>745677</v>
      </c>
      <c r="T96" s="26">
        <f t="shared" si="127"/>
        <v>0</v>
      </c>
      <c r="U96" s="26">
        <f t="shared" si="127"/>
        <v>1077837</v>
      </c>
      <c r="V96" s="26">
        <f t="shared" si="127"/>
        <v>8</v>
      </c>
      <c r="W96" s="26">
        <f t="shared" si="127"/>
        <v>347837</v>
      </c>
      <c r="X96" s="26">
        <f t="shared" si="127"/>
        <v>3</v>
      </c>
      <c r="Y96" s="26">
        <f t="shared" si="127"/>
        <v>730000</v>
      </c>
      <c r="Z96" s="26">
        <f t="shared" si="127"/>
        <v>5</v>
      </c>
      <c r="AA96" s="26">
        <f t="shared" si="127"/>
        <v>-730000</v>
      </c>
      <c r="AB96" s="26">
        <f t="shared" si="127"/>
        <v>114670</v>
      </c>
      <c r="AC96" s="26">
        <f t="shared" si="127"/>
        <v>462507</v>
      </c>
      <c r="AD96" s="26">
        <f t="shared" si="127"/>
        <v>6</v>
      </c>
      <c r="AE96" s="26">
        <f t="shared" si="127"/>
        <v>462507</v>
      </c>
      <c r="AF96" s="26">
        <f t="shared" si="127"/>
        <v>6</v>
      </c>
      <c r="AG96" s="26">
        <f t="shared" si="127"/>
        <v>0</v>
      </c>
      <c r="AH96" s="26">
        <f t="shared" si="127"/>
        <v>0</v>
      </c>
      <c r="AI96" s="26">
        <f t="shared" si="127"/>
        <v>198217.28571428574</v>
      </c>
      <c r="AJ96" s="26">
        <f t="shared" si="127"/>
        <v>5</v>
      </c>
      <c r="AK96" s="26">
        <f t="shared" si="127"/>
        <v>3</v>
      </c>
      <c r="AL96" s="26">
        <f t="shared" si="127"/>
        <v>1390086</v>
      </c>
      <c r="AM96" s="26">
        <f t="shared" si="127"/>
        <v>5</v>
      </c>
      <c r="AN96" s="26">
        <f t="shared" si="127"/>
        <v>-844051</v>
      </c>
      <c r="AO96" s="26">
        <f t="shared" si="127"/>
        <v>0</v>
      </c>
      <c r="AP96" s="26">
        <f t="shared" si="127"/>
        <v>615330</v>
      </c>
      <c r="AQ96" s="26">
        <f t="shared" si="127"/>
        <v>0</v>
      </c>
      <c r="AR96" s="26">
        <f t="shared" si="127"/>
        <v>2234137</v>
      </c>
      <c r="AS96" s="26">
        <f t="shared" si="127"/>
        <v>10</v>
      </c>
      <c r="AT96" s="26">
        <f t="shared" si="127"/>
        <v>114051</v>
      </c>
      <c r="AU96" s="26">
        <f t="shared" si="127"/>
        <v>3</v>
      </c>
      <c r="AV96" s="26">
        <f t="shared" si="127"/>
        <v>2120086</v>
      </c>
      <c r="AW96" s="26">
        <f t="shared" si="127"/>
        <v>7</v>
      </c>
      <c r="AX96" s="26">
        <f t="shared" si="127"/>
        <v>957487.2857142858</v>
      </c>
      <c r="AY96" s="26">
        <f t="shared" si="127"/>
        <v>5</v>
      </c>
      <c r="AZ96" s="26">
        <f t="shared" si="127"/>
        <v>0</v>
      </c>
      <c r="BA96" s="26">
        <f t="shared" si="127"/>
        <v>0</v>
      </c>
      <c r="BB96" s="26">
        <f t="shared" si="127"/>
        <v>0</v>
      </c>
      <c r="BC96" s="26">
        <f t="shared" si="127"/>
        <v>0</v>
      </c>
      <c r="BD96" s="26">
        <f t="shared" si="127"/>
        <v>0</v>
      </c>
      <c r="BE96" s="26">
        <f t="shared" si="127"/>
        <v>0</v>
      </c>
      <c r="BF96" s="26">
        <f t="shared" si="127"/>
        <v>0</v>
      </c>
      <c r="BG96" s="26">
        <f t="shared" si="127"/>
        <v>0</v>
      </c>
      <c r="BH96" s="26">
        <f t="shared" si="127"/>
        <v>0</v>
      </c>
      <c r="BI96" s="26">
        <f t="shared" si="127"/>
        <v>0</v>
      </c>
      <c r="BJ96" s="26">
        <f t="shared" si="127"/>
        <v>0</v>
      </c>
      <c r="BK96" s="26">
        <f t="shared" si="127"/>
        <v>0</v>
      </c>
      <c r="BL96" s="26">
        <f t="shared" si="127"/>
        <v>0</v>
      </c>
      <c r="BM96" s="26">
        <f t="shared" si="127"/>
        <v>0</v>
      </c>
      <c r="BN96" s="26">
        <f t="shared" si="127"/>
        <v>0</v>
      </c>
      <c r="BO96" s="26">
        <f t="shared" si="127"/>
        <v>0</v>
      </c>
      <c r="BP96" s="26">
        <f t="shared" si="127"/>
        <v>0</v>
      </c>
      <c r="BQ96" s="26">
        <f t="shared" si="127"/>
        <v>0</v>
      </c>
      <c r="BR96" s="26">
        <f t="shared" si="127"/>
        <v>0</v>
      </c>
      <c r="BS96" s="26">
        <f t="shared" si="127"/>
        <v>0</v>
      </c>
      <c r="BT96" s="26">
        <f t="shared" si="127"/>
        <v>0</v>
      </c>
      <c r="BU96" s="25"/>
      <c r="BV96" s="25"/>
      <c r="BW96" s="25"/>
      <c r="BX96" s="25"/>
      <c r="BY96" s="25"/>
    </row>
    <row r="97" spans="1:77" ht="11.25" outlineLevel="1" x14ac:dyDescent="0.25">
      <c r="A97" s="106"/>
      <c r="B97" s="107">
        <v>10</v>
      </c>
      <c r="C97" s="104" t="s">
        <v>198</v>
      </c>
      <c r="D97" s="104"/>
      <c r="E97" s="104"/>
      <c r="F97" s="104">
        <f>SUM(F98:F110)</f>
        <v>5771587.4000000004</v>
      </c>
      <c r="G97" s="104">
        <f t="shared" ref="G97:BK97" si="128">SUM(G98:G110)</f>
        <v>5652384.5199999996</v>
      </c>
      <c r="H97" s="104">
        <f>H98+H99+H100</f>
        <v>885357</v>
      </c>
      <c r="I97" s="104">
        <f>I98+I99+I100</f>
        <v>78278</v>
      </c>
      <c r="J97" s="104"/>
      <c r="K97" s="104"/>
      <c r="L97" s="104"/>
      <c r="M97" s="104">
        <f t="shared" si="128"/>
        <v>1796213</v>
      </c>
      <c r="N97" s="104">
        <f t="shared" si="128"/>
        <v>660724.28571428568</v>
      </c>
      <c r="O97" s="104">
        <v>2484219</v>
      </c>
      <c r="P97" s="104">
        <v>10</v>
      </c>
      <c r="Q97" s="26">
        <v>1094133</v>
      </c>
      <c r="R97" s="104">
        <v>8</v>
      </c>
      <c r="S97" s="26">
        <f t="shared" ref="S97:T97" si="129">SUM(S98:S110)</f>
        <v>745677</v>
      </c>
      <c r="T97" s="26">
        <f t="shared" si="129"/>
        <v>0</v>
      </c>
      <c r="U97" s="26">
        <f t="shared" ref="U97:V97" si="130">SUM(U98:U110)</f>
        <v>1077837</v>
      </c>
      <c r="V97" s="67">
        <f t="shared" si="130"/>
        <v>8</v>
      </c>
      <c r="W97" s="67">
        <f t="shared" ref="W97:Z97" si="131">SUM(W98:W110)</f>
        <v>347837</v>
      </c>
      <c r="X97" s="67">
        <f t="shared" si="131"/>
        <v>3</v>
      </c>
      <c r="Y97" s="67">
        <f t="shared" si="131"/>
        <v>730000</v>
      </c>
      <c r="Z97" s="67">
        <f t="shared" si="131"/>
        <v>5</v>
      </c>
      <c r="AA97" s="67">
        <f t="shared" ref="AA97:AB97" si="132">SUM(AA98:AA110)</f>
        <v>-730000</v>
      </c>
      <c r="AB97" s="67">
        <f t="shared" si="132"/>
        <v>114670</v>
      </c>
      <c r="AC97" s="26">
        <f t="shared" si="128"/>
        <v>462507</v>
      </c>
      <c r="AD97" s="104">
        <f t="shared" si="128"/>
        <v>6</v>
      </c>
      <c r="AE97" s="104">
        <f t="shared" si="128"/>
        <v>462507</v>
      </c>
      <c r="AF97" s="104">
        <f t="shared" si="128"/>
        <v>6</v>
      </c>
      <c r="AG97" s="104">
        <f t="shared" si="128"/>
        <v>0</v>
      </c>
      <c r="AH97" s="104">
        <f t="shared" si="128"/>
        <v>0</v>
      </c>
      <c r="AI97" s="104">
        <f t="shared" si="128"/>
        <v>198217.28571428574</v>
      </c>
      <c r="AJ97" s="113">
        <f t="shared" ref="AJ97:AQ97" si="133">SUM(AJ98:AJ110)</f>
        <v>5</v>
      </c>
      <c r="AK97" s="113">
        <f t="shared" si="133"/>
        <v>3</v>
      </c>
      <c r="AL97" s="113">
        <f t="shared" si="133"/>
        <v>1390086</v>
      </c>
      <c r="AM97" s="113">
        <f t="shared" si="133"/>
        <v>5</v>
      </c>
      <c r="AN97" s="113">
        <f t="shared" si="133"/>
        <v>-844051</v>
      </c>
      <c r="AO97" s="113">
        <f t="shared" si="133"/>
        <v>0</v>
      </c>
      <c r="AP97" s="113">
        <f t="shared" si="133"/>
        <v>615330</v>
      </c>
      <c r="AQ97" s="113">
        <f t="shared" si="133"/>
        <v>0</v>
      </c>
      <c r="AR97" s="26">
        <f t="shared" si="128"/>
        <v>2234137</v>
      </c>
      <c r="AS97" s="104">
        <f t="shared" si="128"/>
        <v>10</v>
      </c>
      <c r="AT97" s="104">
        <f t="shared" si="128"/>
        <v>114051</v>
      </c>
      <c r="AU97" s="104">
        <f t="shared" si="128"/>
        <v>3</v>
      </c>
      <c r="AV97" s="104">
        <f t="shared" si="128"/>
        <v>2120086</v>
      </c>
      <c r="AW97" s="104">
        <f t="shared" si="128"/>
        <v>7</v>
      </c>
      <c r="AX97" s="104">
        <f t="shared" si="128"/>
        <v>957487.2857142858</v>
      </c>
      <c r="AY97" s="104">
        <f t="shared" ref="AY97:AZ97" si="134">SUM(AY98:AY110)</f>
        <v>5</v>
      </c>
      <c r="AZ97" s="104">
        <f t="shared" si="134"/>
        <v>0</v>
      </c>
      <c r="BA97" s="104">
        <v>0</v>
      </c>
      <c r="BB97" s="104">
        <v>0</v>
      </c>
      <c r="BC97" s="10">
        <f t="shared" ref="BC97:BC160" si="135">BA97-BE97</f>
        <v>0</v>
      </c>
      <c r="BD97" s="104"/>
      <c r="BE97" s="26">
        <f t="shared" si="128"/>
        <v>0</v>
      </c>
      <c r="BF97" s="104">
        <f t="shared" si="128"/>
        <v>0</v>
      </c>
      <c r="BG97" s="104">
        <f t="shared" si="128"/>
        <v>0</v>
      </c>
      <c r="BH97" s="104">
        <f t="shared" si="128"/>
        <v>0</v>
      </c>
      <c r="BI97" s="104">
        <f t="shared" si="128"/>
        <v>0</v>
      </c>
      <c r="BJ97" s="104">
        <f t="shared" si="128"/>
        <v>0</v>
      </c>
      <c r="BK97" s="104">
        <f t="shared" si="128"/>
        <v>0</v>
      </c>
      <c r="BL97" s="104">
        <f t="shared" ref="BL97:BT97" si="136">SUM(BL98:BL110)</f>
        <v>0</v>
      </c>
      <c r="BM97" s="104">
        <f t="shared" si="136"/>
        <v>0</v>
      </c>
      <c r="BN97" s="104">
        <f t="shared" si="136"/>
        <v>0</v>
      </c>
      <c r="BO97" s="104">
        <f t="shared" si="136"/>
        <v>0</v>
      </c>
      <c r="BP97" s="104">
        <f t="shared" si="136"/>
        <v>0</v>
      </c>
      <c r="BQ97" s="104">
        <f t="shared" si="136"/>
        <v>0</v>
      </c>
      <c r="BR97" s="104">
        <f t="shared" si="136"/>
        <v>0</v>
      </c>
      <c r="BS97" s="104">
        <f t="shared" si="136"/>
        <v>0</v>
      </c>
      <c r="BT97" s="55">
        <f t="shared" si="136"/>
        <v>0</v>
      </c>
    </row>
    <row r="98" spans="1:77" ht="50.25" customHeight="1" outlineLevel="1" x14ac:dyDescent="0.25">
      <c r="A98" s="106"/>
      <c r="B98" s="59">
        <v>1</v>
      </c>
      <c r="C98" s="104" t="s">
        <v>1264</v>
      </c>
      <c r="D98" s="104" t="s">
        <v>280</v>
      </c>
      <c r="E98" s="104" t="s">
        <v>9</v>
      </c>
      <c r="F98" s="104">
        <v>306414</v>
      </c>
      <c r="G98" s="104">
        <v>303614</v>
      </c>
      <c r="H98" s="104">
        <v>283980</v>
      </c>
      <c r="I98" s="104">
        <f t="shared" ref="I98:I100" si="137">G98-H98</f>
        <v>19634</v>
      </c>
      <c r="J98" s="104">
        <v>1</v>
      </c>
      <c r="K98" s="104">
        <v>1</v>
      </c>
      <c r="L98" s="104"/>
      <c r="M98" s="104">
        <v>142857</v>
      </c>
      <c r="N98" s="104">
        <f>AC98+AI98</f>
        <v>154137.14285714287</v>
      </c>
      <c r="O98" s="104">
        <v>112530</v>
      </c>
      <c r="P98" s="104">
        <v>1</v>
      </c>
      <c r="Q98" s="26">
        <v>112530</v>
      </c>
      <c r="R98" s="104">
        <v>1</v>
      </c>
      <c r="S98" s="104">
        <f t="shared" ref="S98:S161" si="138">Q98-AC98</f>
        <v>4634</v>
      </c>
      <c r="T98" s="104"/>
      <c r="U98" s="26">
        <f t="shared" ref="U98:V100" si="139">W98+Y98</f>
        <v>107896</v>
      </c>
      <c r="V98" s="113">
        <f t="shared" si="139"/>
        <v>1</v>
      </c>
      <c r="W98" s="113">
        <v>107896</v>
      </c>
      <c r="X98" s="113">
        <f t="shared" ref="X98:X100" si="140">IF(W98,1,0)</f>
        <v>1</v>
      </c>
      <c r="Y98" s="113"/>
      <c r="Z98" s="113">
        <f t="shared" ref="Z98:Z100" si="141">IF(Y98,1,0)</f>
        <v>0</v>
      </c>
      <c r="AA98" s="118">
        <v>0</v>
      </c>
      <c r="AB98" s="122"/>
      <c r="AC98" s="26">
        <f t="shared" ref="AC98:AD155" si="142">AE98+AG98</f>
        <v>107896</v>
      </c>
      <c r="AD98" s="104">
        <f t="shared" si="142"/>
        <v>1</v>
      </c>
      <c r="AE98" s="104">
        <f>107896</f>
        <v>107896</v>
      </c>
      <c r="AF98" s="104">
        <f t="shared" ref="AF98:AF110" si="143">IF(AE98,1,0)</f>
        <v>1</v>
      </c>
      <c r="AG98" s="104"/>
      <c r="AH98" s="104">
        <f t="shared" ref="AH98:AH110" si="144">IF(AG98,1,0)</f>
        <v>0</v>
      </c>
      <c r="AI98" s="104">
        <f>AC98/0.7*0.3</f>
        <v>46241.142857142862</v>
      </c>
      <c r="AJ98" s="104">
        <v>1</v>
      </c>
      <c r="AK98" s="104"/>
      <c r="AL98" s="104">
        <v>0</v>
      </c>
      <c r="AM98" s="104">
        <v>0</v>
      </c>
      <c r="AN98" s="104">
        <f t="shared" ref="AN98:AN160" si="145">AL98-AR98</f>
        <v>-40000</v>
      </c>
      <c r="AO98" s="104"/>
      <c r="AP98" s="113">
        <f>U98-AC98</f>
        <v>0</v>
      </c>
      <c r="AQ98" s="113"/>
      <c r="AR98" s="34">
        <f t="shared" ref="AR98:AS154" si="146">AT98+AV98</f>
        <v>40000</v>
      </c>
      <c r="AS98" s="10">
        <f t="shared" si="146"/>
        <v>1</v>
      </c>
      <c r="AT98" s="10">
        <v>40000</v>
      </c>
      <c r="AU98" s="10">
        <f t="shared" ref="AU98:AU162" si="147">IF(AT98,1,0)</f>
        <v>1</v>
      </c>
      <c r="AV98" s="10">
        <v>0</v>
      </c>
      <c r="AW98" s="10"/>
      <c r="AX98" s="10">
        <f>AR98/0.7*0.3</f>
        <v>17142.857142857141</v>
      </c>
      <c r="AY98" s="10"/>
      <c r="AZ98" s="10"/>
      <c r="BA98" s="10">
        <v>0</v>
      </c>
      <c r="BB98" s="10">
        <v>0</v>
      </c>
      <c r="BC98" s="10">
        <f t="shared" si="135"/>
        <v>0</v>
      </c>
      <c r="BD98" s="10"/>
      <c r="BE98" s="26">
        <f t="shared" ref="BE98:BF142" si="148">BG98+BI98</f>
        <v>0</v>
      </c>
      <c r="BF98" s="104">
        <f t="shared" si="148"/>
        <v>0</v>
      </c>
      <c r="BG98" s="104"/>
      <c r="BH98" s="104">
        <f t="shared" ref="BH98:BH142" si="149">IF(BG98,1,0)</f>
        <v>0</v>
      </c>
      <c r="BI98" s="104"/>
      <c r="BJ98" s="104">
        <f t="shared" ref="BJ98:BJ161" si="150">IF(BI98,1,0)</f>
        <v>0</v>
      </c>
      <c r="BK98" s="104"/>
      <c r="BL98" s="104"/>
      <c r="BM98" s="104"/>
      <c r="BN98" s="104" t="s">
        <v>1572</v>
      </c>
      <c r="BO98" s="104" t="s">
        <v>1573</v>
      </c>
      <c r="BP98" s="104" t="s">
        <v>934</v>
      </c>
      <c r="BQ98" s="104" t="s">
        <v>933</v>
      </c>
      <c r="BR98" s="104" t="s">
        <v>932</v>
      </c>
      <c r="BS98" s="104" t="s">
        <v>931</v>
      </c>
      <c r="BT98" s="55" t="s">
        <v>935</v>
      </c>
    </row>
    <row r="99" spans="1:77" ht="47.25" customHeight="1" outlineLevel="1" x14ac:dyDescent="0.25">
      <c r="A99" s="106"/>
      <c r="B99" s="59">
        <v>2</v>
      </c>
      <c r="C99" s="104" t="s">
        <v>1265</v>
      </c>
      <c r="D99" s="104" t="s">
        <v>722</v>
      </c>
      <c r="E99" s="104" t="s">
        <v>9</v>
      </c>
      <c r="F99" s="104">
        <v>351058</v>
      </c>
      <c r="G99" s="104">
        <v>347558</v>
      </c>
      <c r="H99" s="104">
        <v>298857</v>
      </c>
      <c r="I99" s="104">
        <f t="shared" si="137"/>
        <v>48701</v>
      </c>
      <c r="J99" s="104">
        <v>1</v>
      </c>
      <c r="K99" s="104">
        <v>1</v>
      </c>
      <c r="L99" s="104"/>
      <c r="M99" s="104">
        <v>142857</v>
      </c>
      <c r="N99" s="104">
        <f t="shared" ref="N99:N110" si="151">AC99+AI99</f>
        <v>196484.28571428571</v>
      </c>
      <c r="O99" s="104">
        <v>142241</v>
      </c>
      <c r="P99" s="104">
        <v>1</v>
      </c>
      <c r="Q99" s="26">
        <v>142241</v>
      </c>
      <c r="R99" s="104">
        <v>1</v>
      </c>
      <c r="S99" s="104">
        <f t="shared" si="138"/>
        <v>4702</v>
      </c>
      <c r="T99" s="104"/>
      <c r="U99" s="26">
        <f t="shared" si="139"/>
        <v>137539</v>
      </c>
      <c r="V99" s="113">
        <f t="shared" si="139"/>
        <v>1</v>
      </c>
      <c r="W99" s="113">
        <v>137539</v>
      </c>
      <c r="X99" s="113">
        <f t="shared" si="140"/>
        <v>1</v>
      </c>
      <c r="Y99" s="113"/>
      <c r="Z99" s="113">
        <f t="shared" si="141"/>
        <v>0</v>
      </c>
      <c r="AA99" s="118">
        <v>0</v>
      </c>
      <c r="AB99" s="122"/>
      <c r="AC99" s="26">
        <f t="shared" si="142"/>
        <v>137539</v>
      </c>
      <c r="AD99" s="104">
        <f t="shared" si="142"/>
        <v>1</v>
      </c>
      <c r="AE99" s="104">
        <f>137539</f>
        <v>137539</v>
      </c>
      <c r="AF99" s="104">
        <f t="shared" si="143"/>
        <v>1</v>
      </c>
      <c r="AG99" s="104"/>
      <c r="AH99" s="104">
        <f t="shared" si="144"/>
        <v>0</v>
      </c>
      <c r="AI99" s="104">
        <f t="shared" ref="AI99:AI110" si="152">AC99/0.7*0.3</f>
        <v>58945.285714285717</v>
      </c>
      <c r="AJ99" s="104">
        <v>1</v>
      </c>
      <c r="AK99" s="104"/>
      <c r="AL99" s="104">
        <v>0</v>
      </c>
      <c r="AM99" s="104">
        <v>0</v>
      </c>
      <c r="AN99" s="104">
        <f t="shared" si="145"/>
        <v>-50000</v>
      </c>
      <c r="AO99" s="104"/>
      <c r="AP99" s="113">
        <f t="shared" ref="AP99:AP110" si="153">U99-AC99</f>
        <v>0</v>
      </c>
      <c r="AQ99" s="113"/>
      <c r="AR99" s="34">
        <f t="shared" si="146"/>
        <v>50000</v>
      </c>
      <c r="AS99" s="10">
        <f t="shared" si="146"/>
        <v>1</v>
      </c>
      <c r="AT99" s="10">
        <f>50000</f>
        <v>50000</v>
      </c>
      <c r="AU99" s="10">
        <f t="shared" si="147"/>
        <v>1</v>
      </c>
      <c r="AV99" s="10"/>
      <c r="AW99" s="10">
        <f t="shared" ref="AW99:AW162" si="154">IF(AV99,1,0)</f>
        <v>0</v>
      </c>
      <c r="AX99" s="10">
        <f>AR99/0.7*0.3</f>
        <v>21428.571428571431</v>
      </c>
      <c r="AY99" s="10"/>
      <c r="AZ99" s="10"/>
      <c r="BA99" s="10">
        <v>0</v>
      </c>
      <c r="BB99" s="10">
        <v>0</v>
      </c>
      <c r="BC99" s="10">
        <f t="shared" si="135"/>
        <v>0</v>
      </c>
      <c r="BD99" s="10"/>
      <c r="BE99" s="26">
        <f t="shared" si="148"/>
        <v>0</v>
      </c>
      <c r="BF99" s="104">
        <f t="shared" si="148"/>
        <v>0</v>
      </c>
      <c r="BG99" s="104"/>
      <c r="BH99" s="104">
        <f t="shared" si="149"/>
        <v>0</v>
      </c>
      <c r="BI99" s="104"/>
      <c r="BJ99" s="104">
        <f t="shared" si="150"/>
        <v>0</v>
      </c>
      <c r="BK99" s="104"/>
      <c r="BL99" s="104"/>
      <c r="BM99" s="104"/>
      <c r="BN99" s="104" t="s">
        <v>900</v>
      </c>
      <c r="BO99" s="104" t="s">
        <v>1574</v>
      </c>
      <c r="BP99" s="104" t="s">
        <v>939</v>
      </c>
      <c r="BQ99" s="104" t="s">
        <v>938</v>
      </c>
      <c r="BR99" s="104" t="s">
        <v>937</v>
      </c>
      <c r="BS99" s="104" t="s">
        <v>936</v>
      </c>
      <c r="BT99" s="55" t="s">
        <v>940</v>
      </c>
    </row>
    <row r="100" spans="1:77" ht="54.75" customHeight="1" outlineLevel="1" x14ac:dyDescent="0.25">
      <c r="A100" s="106"/>
      <c r="B100" s="59">
        <v>3</v>
      </c>
      <c r="C100" s="104" t="s">
        <v>1188</v>
      </c>
      <c r="D100" s="104" t="s">
        <v>281</v>
      </c>
      <c r="E100" s="104" t="s">
        <v>9</v>
      </c>
      <c r="F100" s="104">
        <v>315962.90000000002</v>
      </c>
      <c r="G100" s="104">
        <v>312463</v>
      </c>
      <c r="H100" s="67">
        <v>302520</v>
      </c>
      <c r="I100" s="104">
        <f t="shared" si="137"/>
        <v>9943</v>
      </c>
      <c r="J100" s="104">
        <v>1</v>
      </c>
      <c r="K100" s="104">
        <v>1</v>
      </c>
      <c r="L100" s="104">
        <v>1</v>
      </c>
      <c r="M100" s="104">
        <v>156231</v>
      </c>
      <c r="N100" s="104">
        <f t="shared" si="151"/>
        <v>147172.85714285716</v>
      </c>
      <c r="O100" s="104">
        <v>109362</v>
      </c>
      <c r="P100" s="104">
        <v>1</v>
      </c>
      <c r="Q100" s="26">
        <v>109362</v>
      </c>
      <c r="R100" s="104">
        <v>1</v>
      </c>
      <c r="S100" s="104">
        <f t="shared" si="138"/>
        <v>6341</v>
      </c>
      <c r="T100" s="104"/>
      <c r="U100" s="26">
        <f t="shared" si="139"/>
        <v>102402</v>
      </c>
      <c r="V100" s="113">
        <f t="shared" si="139"/>
        <v>1</v>
      </c>
      <c r="W100" s="113">
        <v>102402</v>
      </c>
      <c r="X100" s="113">
        <f t="shared" si="140"/>
        <v>1</v>
      </c>
      <c r="Y100" s="113"/>
      <c r="Z100" s="113">
        <f t="shared" si="141"/>
        <v>0</v>
      </c>
      <c r="AA100" s="118"/>
      <c r="AB100" s="122">
        <v>619</v>
      </c>
      <c r="AC100" s="26">
        <f t="shared" si="142"/>
        <v>103021</v>
      </c>
      <c r="AD100" s="104">
        <f t="shared" si="142"/>
        <v>1</v>
      </c>
      <c r="AE100" s="104">
        <f>102402+619</f>
        <v>103021</v>
      </c>
      <c r="AF100" s="104">
        <f t="shared" si="143"/>
        <v>1</v>
      </c>
      <c r="AG100" s="104"/>
      <c r="AH100" s="104">
        <f t="shared" si="144"/>
        <v>0</v>
      </c>
      <c r="AI100" s="104">
        <f t="shared" si="152"/>
        <v>44151.857142857145</v>
      </c>
      <c r="AJ100" s="104">
        <v>1</v>
      </c>
      <c r="AK100" s="104"/>
      <c r="AL100" s="104">
        <v>0</v>
      </c>
      <c r="AM100" s="104">
        <v>0</v>
      </c>
      <c r="AN100" s="104">
        <f t="shared" si="145"/>
        <v>-24051</v>
      </c>
      <c r="AO100" s="104"/>
      <c r="AP100" s="113">
        <f t="shared" si="153"/>
        <v>-619</v>
      </c>
      <c r="AQ100" s="113"/>
      <c r="AR100" s="34">
        <f t="shared" si="146"/>
        <v>24051</v>
      </c>
      <c r="AS100" s="10">
        <f t="shared" si="146"/>
        <v>1</v>
      </c>
      <c r="AT100" s="10">
        <f>24051</f>
        <v>24051</v>
      </c>
      <c r="AU100" s="10">
        <f t="shared" si="147"/>
        <v>1</v>
      </c>
      <c r="AV100" s="10"/>
      <c r="AW100" s="10">
        <f t="shared" si="154"/>
        <v>0</v>
      </c>
      <c r="AX100" s="10">
        <f>AR100/0.7*0.3</f>
        <v>10307.571428571428</v>
      </c>
      <c r="AY100" s="10"/>
      <c r="AZ100" s="10"/>
      <c r="BA100" s="10">
        <v>0</v>
      </c>
      <c r="BB100" s="10">
        <v>0</v>
      </c>
      <c r="BC100" s="10">
        <f t="shared" si="135"/>
        <v>0</v>
      </c>
      <c r="BD100" s="10"/>
      <c r="BE100" s="26">
        <f t="shared" si="148"/>
        <v>0</v>
      </c>
      <c r="BF100" s="104">
        <f t="shared" si="148"/>
        <v>0</v>
      </c>
      <c r="BG100" s="104"/>
      <c r="BH100" s="104">
        <f t="shared" si="149"/>
        <v>0</v>
      </c>
      <c r="BI100" s="104"/>
      <c r="BJ100" s="104">
        <f t="shared" si="150"/>
        <v>0</v>
      </c>
      <c r="BK100" s="104"/>
      <c r="BL100" s="104"/>
      <c r="BM100" s="104"/>
      <c r="BN100" s="104" t="s">
        <v>1575</v>
      </c>
      <c r="BO100" s="104" t="s">
        <v>1576</v>
      </c>
      <c r="BP100" s="104" t="s">
        <v>1189</v>
      </c>
      <c r="BQ100" s="104" t="s">
        <v>941</v>
      </c>
      <c r="BR100" s="104" t="s">
        <v>942</v>
      </c>
      <c r="BS100" s="104" t="s">
        <v>949</v>
      </c>
      <c r="BT100" s="55" t="s">
        <v>943</v>
      </c>
    </row>
    <row r="101" spans="1:77" ht="75" customHeight="1" outlineLevel="1" x14ac:dyDescent="0.25">
      <c r="A101" s="106"/>
      <c r="B101" s="59"/>
      <c r="C101" s="112" t="s">
        <v>1935</v>
      </c>
      <c r="D101" s="104" t="s">
        <v>2062</v>
      </c>
      <c r="E101" s="104" t="s">
        <v>196</v>
      </c>
      <c r="F101" s="104">
        <v>647281</v>
      </c>
      <c r="G101" s="104">
        <v>639000.65599999996</v>
      </c>
      <c r="H101" s="67"/>
      <c r="I101" s="104"/>
      <c r="J101" s="104"/>
      <c r="K101" s="104"/>
      <c r="L101" s="104"/>
      <c r="M101" s="104">
        <v>595526</v>
      </c>
      <c r="N101" s="104">
        <f t="shared" si="151"/>
        <v>43472.857142857145</v>
      </c>
      <c r="O101" s="104"/>
      <c r="P101" s="104"/>
      <c r="Q101" s="26"/>
      <c r="R101" s="104"/>
      <c r="S101" s="104"/>
      <c r="T101" s="104"/>
      <c r="U101" s="26"/>
      <c r="V101" s="113"/>
      <c r="W101" s="113"/>
      <c r="X101" s="113"/>
      <c r="Y101" s="113"/>
      <c r="Z101" s="113"/>
      <c r="AA101" s="118"/>
      <c r="AB101" s="122">
        <v>30431</v>
      </c>
      <c r="AC101" s="26">
        <f t="shared" si="142"/>
        <v>30431</v>
      </c>
      <c r="AD101" s="104">
        <f t="shared" si="142"/>
        <v>1</v>
      </c>
      <c r="AE101" s="104">
        <v>30431</v>
      </c>
      <c r="AF101" s="104">
        <f t="shared" si="143"/>
        <v>1</v>
      </c>
      <c r="AG101" s="104"/>
      <c r="AH101" s="104"/>
      <c r="AI101" s="104">
        <f t="shared" si="152"/>
        <v>13041.857142857143</v>
      </c>
      <c r="AJ101" s="104"/>
      <c r="AK101" s="104"/>
      <c r="AL101" s="104"/>
      <c r="AM101" s="104"/>
      <c r="AN101" s="104"/>
      <c r="AO101" s="104"/>
      <c r="AP101" s="113">
        <f t="shared" si="153"/>
        <v>-30431</v>
      </c>
      <c r="AQ101" s="113"/>
      <c r="AR101" s="34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26"/>
      <c r="BF101" s="104"/>
      <c r="BG101" s="104"/>
      <c r="BH101" s="104"/>
      <c r="BI101" s="104"/>
      <c r="BJ101" s="104"/>
      <c r="BK101" s="104"/>
      <c r="BL101" s="104"/>
      <c r="BM101" s="104"/>
      <c r="BN101" s="104" t="s">
        <v>1947</v>
      </c>
      <c r="BO101" s="104" t="s">
        <v>1948</v>
      </c>
      <c r="BP101" s="104" t="s">
        <v>1949</v>
      </c>
      <c r="BQ101" s="104" t="s">
        <v>1950</v>
      </c>
      <c r="BR101" s="104" t="s">
        <v>1951</v>
      </c>
      <c r="BS101" s="104" t="s">
        <v>1952</v>
      </c>
      <c r="BT101" s="55"/>
    </row>
    <row r="102" spans="1:77" ht="54.75" customHeight="1" outlineLevel="1" x14ac:dyDescent="0.25">
      <c r="A102" s="106"/>
      <c r="B102" s="59"/>
      <c r="C102" s="112" t="s">
        <v>1936</v>
      </c>
      <c r="D102" s="104" t="s">
        <v>2063</v>
      </c>
      <c r="E102" s="104" t="s">
        <v>196</v>
      </c>
      <c r="F102" s="104">
        <v>736679</v>
      </c>
      <c r="G102" s="104">
        <v>699419.86399999994</v>
      </c>
      <c r="H102" s="67"/>
      <c r="I102" s="104"/>
      <c r="J102" s="104"/>
      <c r="K102" s="104"/>
      <c r="L102" s="104"/>
      <c r="M102" s="104">
        <v>463803</v>
      </c>
      <c r="N102" s="104">
        <f t="shared" si="151"/>
        <v>92760</v>
      </c>
      <c r="O102" s="104"/>
      <c r="P102" s="104"/>
      <c r="Q102" s="26"/>
      <c r="R102" s="104"/>
      <c r="S102" s="104"/>
      <c r="T102" s="104"/>
      <c r="U102" s="26"/>
      <c r="V102" s="113"/>
      <c r="W102" s="113"/>
      <c r="X102" s="113"/>
      <c r="Y102" s="113"/>
      <c r="Z102" s="113"/>
      <c r="AA102" s="118"/>
      <c r="AB102" s="122">
        <v>64932</v>
      </c>
      <c r="AC102" s="26">
        <f t="shared" si="142"/>
        <v>64932</v>
      </c>
      <c r="AD102" s="104">
        <f t="shared" si="142"/>
        <v>1</v>
      </c>
      <c r="AE102" s="104">
        <v>64932</v>
      </c>
      <c r="AF102" s="104">
        <f t="shared" si="143"/>
        <v>1</v>
      </c>
      <c r="AG102" s="104"/>
      <c r="AH102" s="104"/>
      <c r="AI102" s="104">
        <f t="shared" si="152"/>
        <v>27828</v>
      </c>
      <c r="AJ102" s="104"/>
      <c r="AK102" s="104"/>
      <c r="AL102" s="104"/>
      <c r="AM102" s="104"/>
      <c r="AN102" s="104"/>
      <c r="AO102" s="104"/>
      <c r="AP102" s="113">
        <f t="shared" si="153"/>
        <v>-64932</v>
      </c>
      <c r="AQ102" s="113"/>
      <c r="AR102" s="34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26"/>
      <c r="BF102" s="104"/>
      <c r="BG102" s="104"/>
      <c r="BH102" s="104"/>
      <c r="BI102" s="104"/>
      <c r="BJ102" s="104"/>
      <c r="BK102" s="104"/>
      <c r="BL102" s="104"/>
      <c r="BM102" s="104"/>
      <c r="BN102" s="104" t="s">
        <v>1953</v>
      </c>
      <c r="BO102" s="104" t="s">
        <v>1954</v>
      </c>
      <c r="BP102" s="104" t="s">
        <v>1955</v>
      </c>
      <c r="BQ102" s="104" t="s">
        <v>1956</v>
      </c>
      <c r="BR102" s="104" t="s">
        <v>1957</v>
      </c>
      <c r="BS102" s="104"/>
      <c r="BT102" s="55"/>
    </row>
    <row r="103" spans="1:77" ht="54.75" customHeight="1" outlineLevel="1" x14ac:dyDescent="0.25">
      <c r="A103" s="106"/>
      <c r="B103" s="59"/>
      <c r="C103" s="112" t="s">
        <v>1937</v>
      </c>
      <c r="D103" s="104" t="s">
        <v>2064</v>
      </c>
      <c r="E103" s="104" t="s">
        <v>9</v>
      </c>
      <c r="F103" s="104">
        <v>326635.5</v>
      </c>
      <c r="G103" s="104">
        <v>321636</v>
      </c>
      <c r="H103" s="67"/>
      <c r="I103" s="104"/>
      <c r="J103" s="104"/>
      <c r="K103" s="104"/>
      <c r="L103" s="104"/>
      <c r="M103" s="104">
        <v>294939</v>
      </c>
      <c r="N103" s="104">
        <f t="shared" si="151"/>
        <v>26697.142857142855</v>
      </c>
      <c r="O103" s="104"/>
      <c r="P103" s="104"/>
      <c r="Q103" s="26"/>
      <c r="R103" s="104"/>
      <c r="S103" s="104"/>
      <c r="T103" s="104"/>
      <c r="U103" s="26"/>
      <c r="V103" s="113"/>
      <c r="W103" s="113"/>
      <c r="X103" s="113"/>
      <c r="Y103" s="113"/>
      <c r="Z103" s="113"/>
      <c r="AA103" s="118"/>
      <c r="AB103" s="122">
        <v>18688</v>
      </c>
      <c r="AC103" s="26">
        <f t="shared" si="142"/>
        <v>18688</v>
      </c>
      <c r="AD103" s="104">
        <f t="shared" si="142"/>
        <v>1</v>
      </c>
      <c r="AE103" s="104">
        <v>18688</v>
      </c>
      <c r="AF103" s="104">
        <f t="shared" si="143"/>
        <v>1</v>
      </c>
      <c r="AG103" s="104"/>
      <c r="AH103" s="104"/>
      <c r="AI103" s="104">
        <f t="shared" si="152"/>
        <v>8009.1428571428569</v>
      </c>
      <c r="AJ103" s="104"/>
      <c r="AK103" s="104"/>
      <c r="AL103" s="104"/>
      <c r="AM103" s="104"/>
      <c r="AN103" s="104"/>
      <c r="AO103" s="104"/>
      <c r="AP103" s="113">
        <f t="shared" si="153"/>
        <v>-18688</v>
      </c>
      <c r="AQ103" s="113"/>
      <c r="AR103" s="34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26"/>
      <c r="BF103" s="104"/>
      <c r="BG103" s="104"/>
      <c r="BH103" s="104"/>
      <c r="BI103" s="104"/>
      <c r="BJ103" s="104"/>
      <c r="BK103" s="104"/>
      <c r="BL103" s="104"/>
      <c r="BM103" s="104"/>
      <c r="BN103" s="104" t="s">
        <v>1958</v>
      </c>
      <c r="BO103" s="104" t="s">
        <v>1959</v>
      </c>
      <c r="BP103" s="104" t="s">
        <v>1960</v>
      </c>
      <c r="BQ103" s="104" t="s">
        <v>1961</v>
      </c>
      <c r="BR103" s="104" t="s">
        <v>1962</v>
      </c>
      <c r="BS103" s="104" t="s">
        <v>1963</v>
      </c>
      <c r="BT103" s="55"/>
    </row>
    <row r="104" spans="1:77" ht="51" customHeight="1" outlineLevel="1" x14ac:dyDescent="0.25">
      <c r="A104" s="106"/>
      <c r="B104" s="59">
        <v>4</v>
      </c>
      <c r="C104" s="104" t="s">
        <v>1266</v>
      </c>
      <c r="D104" s="104" t="s">
        <v>1106</v>
      </c>
      <c r="E104" s="41" t="s">
        <v>10</v>
      </c>
      <c r="F104" s="41">
        <v>311260</v>
      </c>
      <c r="G104" s="104">
        <v>301460</v>
      </c>
      <c r="H104" s="104"/>
      <c r="I104" s="104"/>
      <c r="J104" s="104"/>
      <c r="K104" s="104"/>
      <c r="L104" s="104"/>
      <c r="M104" s="104">
        <v>0</v>
      </c>
      <c r="N104" s="104">
        <f t="shared" si="151"/>
        <v>0</v>
      </c>
      <c r="O104" s="104">
        <v>211022</v>
      </c>
      <c r="P104" s="104">
        <v>1</v>
      </c>
      <c r="Q104" s="26">
        <v>211022</v>
      </c>
      <c r="R104" s="104">
        <v>1</v>
      </c>
      <c r="S104" s="104">
        <f t="shared" si="138"/>
        <v>211022</v>
      </c>
      <c r="T104" s="104"/>
      <c r="U104" s="26">
        <f t="shared" ref="U104:V110" si="155">W104+Y104</f>
        <v>211022</v>
      </c>
      <c r="V104" s="113">
        <f t="shared" si="155"/>
        <v>1</v>
      </c>
      <c r="W104" s="113"/>
      <c r="X104" s="113">
        <f t="shared" ref="X104:X110" si="156">IF(W104,1,0)</f>
        <v>0</v>
      </c>
      <c r="Y104" s="113">
        <v>211022</v>
      </c>
      <c r="Z104" s="113">
        <f t="shared" ref="Z104:Z110" si="157">IF(Y104,1,0)</f>
        <v>1</v>
      </c>
      <c r="AA104" s="118">
        <v>-211022</v>
      </c>
      <c r="AB104" s="122"/>
      <c r="AC104" s="26">
        <f t="shared" si="142"/>
        <v>0</v>
      </c>
      <c r="AD104" s="104">
        <f t="shared" si="142"/>
        <v>0</v>
      </c>
      <c r="AE104" s="104"/>
      <c r="AF104" s="104">
        <f t="shared" si="143"/>
        <v>0</v>
      </c>
      <c r="AG104" s="104"/>
      <c r="AH104" s="104">
        <f t="shared" si="144"/>
        <v>0</v>
      </c>
      <c r="AI104" s="104">
        <f t="shared" si="152"/>
        <v>0</v>
      </c>
      <c r="AJ104" s="104">
        <v>1</v>
      </c>
      <c r="AK104" s="104"/>
      <c r="AL104" s="104">
        <v>0</v>
      </c>
      <c r="AM104" s="104">
        <v>0</v>
      </c>
      <c r="AN104" s="104">
        <f t="shared" si="145"/>
        <v>-211022</v>
      </c>
      <c r="AO104" s="104"/>
      <c r="AP104" s="113">
        <f t="shared" si="153"/>
        <v>211022</v>
      </c>
      <c r="AQ104" s="113"/>
      <c r="AR104" s="34">
        <f t="shared" si="146"/>
        <v>211022</v>
      </c>
      <c r="AS104" s="10">
        <f t="shared" si="146"/>
        <v>1</v>
      </c>
      <c r="AT104" s="10"/>
      <c r="AU104" s="10">
        <f t="shared" si="147"/>
        <v>0</v>
      </c>
      <c r="AV104" s="10">
        <f>211022</f>
        <v>211022</v>
      </c>
      <c r="AW104" s="10">
        <f t="shared" si="154"/>
        <v>1</v>
      </c>
      <c r="AX104" s="10">
        <f>AR104/0.7*0.3</f>
        <v>90438</v>
      </c>
      <c r="AY104" s="10"/>
      <c r="AZ104" s="10"/>
      <c r="BA104" s="10">
        <v>0</v>
      </c>
      <c r="BB104" s="10">
        <v>0</v>
      </c>
      <c r="BC104" s="10">
        <f t="shared" si="135"/>
        <v>0</v>
      </c>
      <c r="BD104" s="10"/>
      <c r="BE104" s="26">
        <f t="shared" si="148"/>
        <v>0</v>
      </c>
      <c r="BF104" s="104">
        <f t="shared" si="148"/>
        <v>0</v>
      </c>
      <c r="BG104" s="104"/>
      <c r="BH104" s="104">
        <f t="shared" si="149"/>
        <v>0</v>
      </c>
      <c r="BI104" s="104"/>
      <c r="BJ104" s="104">
        <f t="shared" si="150"/>
        <v>0</v>
      </c>
      <c r="BK104" s="104"/>
      <c r="BL104" s="104"/>
      <c r="BM104" s="104"/>
      <c r="BN104" s="104" t="s">
        <v>969</v>
      </c>
      <c r="BO104" s="104" t="s">
        <v>1577</v>
      </c>
      <c r="BP104" s="104" t="s">
        <v>972</v>
      </c>
      <c r="BQ104" s="104" t="s">
        <v>971</v>
      </c>
      <c r="BR104" s="104" t="s">
        <v>970</v>
      </c>
      <c r="BS104" s="104" t="s">
        <v>1107</v>
      </c>
      <c r="BT104" s="55" t="s">
        <v>1190</v>
      </c>
    </row>
    <row r="105" spans="1:77" ht="61.5" customHeight="1" outlineLevel="1" x14ac:dyDescent="0.25">
      <c r="A105" s="106"/>
      <c r="B105" s="59">
        <v>5</v>
      </c>
      <c r="C105" s="104" t="s">
        <v>1108</v>
      </c>
      <c r="D105" s="104" t="s">
        <v>1109</v>
      </c>
      <c r="E105" s="41">
        <v>2016</v>
      </c>
      <c r="F105" s="41">
        <v>538888</v>
      </c>
      <c r="G105" s="104">
        <v>520524</v>
      </c>
      <c r="H105" s="104"/>
      <c r="I105" s="104"/>
      <c r="J105" s="104"/>
      <c r="K105" s="104"/>
      <c r="L105" s="104"/>
      <c r="M105" s="104">
        <v>0</v>
      </c>
      <c r="N105" s="104">
        <f t="shared" si="151"/>
        <v>0</v>
      </c>
      <c r="O105" s="104">
        <v>364367</v>
      </c>
      <c r="P105" s="104">
        <v>1</v>
      </c>
      <c r="Q105" s="26">
        <v>0</v>
      </c>
      <c r="R105" s="104" t="s">
        <v>1828</v>
      </c>
      <c r="S105" s="104">
        <f t="shared" si="138"/>
        <v>0</v>
      </c>
      <c r="T105" s="104"/>
      <c r="U105" s="26">
        <f t="shared" si="155"/>
        <v>0</v>
      </c>
      <c r="V105" s="113">
        <f t="shared" si="155"/>
        <v>0</v>
      </c>
      <c r="W105" s="113"/>
      <c r="X105" s="113">
        <f t="shared" si="156"/>
        <v>0</v>
      </c>
      <c r="Y105" s="113"/>
      <c r="Z105" s="113">
        <f t="shared" si="157"/>
        <v>0</v>
      </c>
      <c r="AA105" s="118">
        <v>0</v>
      </c>
      <c r="AB105" s="122"/>
      <c r="AC105" s="26">
        <f t="shared" si="142"/>
        <v>0</v>
      </c>
      <c r="AD105" s="104">
        <f t="shared" si="142"/>
        <v>0</v>
      </c>
      <c r="AE105" s="104"/>
      <c r="AF105" s="104">
        <f t="shared" si="143"/>
        <v>0</v>
      </c>
      <c r="AG105" s="104"/>
      <c r="AH105" s="104">
        <f t="shared" si="144"/>
        <v>0</v>
      </c>
      <c r="AI105" s="104">
        <f t="shared" si="152"/>
        <v>0</v>
      </c>
      <c r="AJ105" s="104"/>
      <c r="AK105" s="104"/>
      <c r="AL105" s="104">
        <v>364367</v>
      </c>
      <c r="AM105" s="104">
        <v>1</v>
      </c>
      <c r="AN105" s="104">
        <f t="shared" si="145"/>
        <v>0</v>
      </c>
      <c r="AO105" s="104"/>
      <c r="AP105" s="113">
        <f t="shared" si="153"/>
        <v>0</v>
      </c>
      <c r="AQ105" s="113"/>
      <c r="AR105" s="34">
        <f t="shared" si="146"/>
        <v>364367</v>
      </c>
      <c r="AS105" s="10">
        <f t="shared" si="146"/>
        <v>1</v>
      </c>
      <c r="AT105" s="10"/>
      <c r="AU105" s="10">
        <f t="shared" si="147"/>
        <v>0</v>
      </c>
      <c r="AV105" s="10">
        <v>364367</v>
      </c>
      <c r="AW105" s="10">
        <f t="shared" si="154"/>
        <v>1</v>
      </c>
      <c r="AX105" s="10">
        <f t="shared" ref="AX105:AX110" si="158">AR105/0.7*0.3</f>
        <v>156157.28571428571</v>
      </c>
      <c r="AY105" s="10">
        <v>1</v>
      </c>
      <c r="AZ105" s="10"/>
      <c r="BA105" s="10">
        <v>0</v>
      </c>
      <c r="BB105" s="10">
        <v>0</v>
      </c>
      <c r="BC105" s="10">
        <f t="shared" si="135"/>
        <v>0</v>
      </c>
      <c r="BD105" s="10"/>
      <c r="BE105" s="26">
        <f t="shared" si="148"/>
        <v>0</v>
      </c>
      <c r="BF105" s="104">
        <f t="shared" si="148"/>
        <v>0</v>
      </c>
      <c r="BG105" s="104"/>
      <c r="BH105" s="104">
        <f t="shared" si="149"/>
        <v>0</v>
      </c>
      <c r="BI105" s="104"/>
      <c r="BJ105" s="104">
        <f t="shared" si="150"/>
        <v>0</v>
      </c>
      <c r="BK105" s="104"/>
      <c r="BL105" s="104"/>
      <c r="BM105" s="104"/>
      <c r="BN105" s="104" t="s">
        <v>948</v>
      </c>
      <c r="BO105" s="104" t="s">
        <v>1578</v>
      </c>
      <c r="BP105" s="104" t="s">
        <v>952</v>
      </c>
      <c r="BQ105" s="104" t="s">
        <v>951</v>
      </c>
      <c r="BR105" s="104" t="s">
        <v>950</v>
      </c>
      <c r="BS105" s="104" t="s">
        <v>949</v>
      </c>
      <c r="BT105" s="55" t="s">
        <v>953</v>
      </c>
    </row>
    <row r="106" spans="1:77" ht="55.5" customHeight="1" outlineLevel="1" x14ac:dyDescent="0.25">
      <c r="A106" s="106"/>
      <c r="B106" s="59">
        <v>6</v>
      </c>
      <c r="C106" s="67" t="s">
        <v>1267</v>
      </c>
      <c r="D106" s="104" t="s">
        <v>1100</v>
      </c>
      <c r="E106" s="41" t="s">
        <v>10</v>
      </c>
      <c r="F106" s="41">
        <v>563993</v>
      </c>
      <c r="G106" s="104">
        <v>558093</v>
      </c>
      <c r="H106" s="104"/>
      <c r="I106" s="104"/>
      <c r="J106" s="104"/>
      <c r="K106" s="104"/>
      <c r="L106" s="104"/>
      <c r="M106" s="104">
        <v>0</v>
      </c>
      <c r="N106" s="104">
        <f t="shared" si="151"/>
        <v>0</v>
      </c>
      <c r="O106" s="104">
        <v>390665</v>
      </c>
      <c r="P106" s="104">
        <v>1</v>
      </c>
      <c r="Q106" s="26">
        <v>100000</v>
      </c>
      <c r="R106" s="104">
        <v>1</v>
      </c>
      <c r="S106" s="104">
        <f t="shared" si="138"/>
        <v>100000</v>
      </c>
      <c r="T106" s="104"/>
      <c r="U106" s="26">
        <f t="shared" si="155"/>
        <v>100000</v>
      </c>
      <c r="V106" s="113">
        <f t="shared" si="155"/>
        <v>1</v>
      </c>
      <c r="W106" s="113"/>
      <c r="X106" s="113">
        <f t="shared" si="156"/>
        <v>0</v>
      </c>
      <c r="Y106" s="113">
        <v>100000</v>
      </c>
      <c r="Z106" s="113">
        <f t="shared" si="157"/>
        <v>1</v>
      </c>
      <c r="AA106" s="118">
        <v>-100000</v>
      </c>
      <c r="AB106" s="122"/>
      <c r="AC106" s="26">
        <f t="shared" si="142"/>
        <v>0</v>
      </c>
      <c r="AD106" s="104">
        <f t="shared" si="142"/>
        <v>0</v>
      </c>
      <c r="AE106" s="104"/>
      <c r="AF106" s="104">
        <f t="shared" si="143"/>
        <v>0</v>
      </c>
      <c r="AG106" s="104"/>
      <c r="AH106" s="104">
        <f t="shared" si="144"/>
        <v>0</v>
      </c>
      <c r="AI106" s="104">
        <f t="shared" si="152"/>
        <v>0</v>
      </c>
      <c r="AJ106" s="104"/>
      <c r="AK106" s="104">
        <v>1</v>
      </c>
      <c r="AL106" s="104">
        <v>290665</v>
      </c>
      <c r="AM106" s="104">
        <v>1</v>
      </c>
      <c r="AN106" s="104">
        <f t="shared" si="145"/>
        <v>-100000</v>
      </c>
      <c r="AO106" s="104"/>
      <c r="AP106" s="113">
        <f t="shared" si="153"/>
        <v>100000</v>
      </c>
      <c r="AQ106" s="113"/>
      <c r="AR106" s="34">
        <f t="shared" si="146"/>
        <v>390665</v>
      </c>
      <c r="AS106" s="10">
        <f t="shared" si="146"/>
        <v>1</v>
      </c>
      <c r="AT106" s="10"/>
      <c r="AU106" s="10">
        <f t="shared" si="147"/>
        <v>0</v>
      </c>
      <c r="AV106" s="10">
        <f>390665</f>
        <v>390665</v>
      </c>
      <c r="AW106" s="10">
        <f t="shared" si="154"/>
        <v>1</v>
      </c>
      <c r="AX106" s="10">
        <f t="shared" si="158"/>
        <v>167427.85714285713</v>
      </c>
      <c r="AY106" s="10">
        <v>1</v>
      </c>
      <c r="AZ106" s="10"/>
      <c r="BA106" s="10">
        <v>0</v>
      </c>
      <c r="BB106" s="10">
        <v>0</v>
      </c>
      <c r="BC106" s="10">
        <f t="shared" si="135"/>
        <v>0</v>
      </c>
      <c r="BD106" s="10"/>
      <c r="BE106" s="26">
        <f t="shared" si="148"/>
        <v>0</v>
      </c>
      <c r="BF106" s="104">
        <f t="shared" si="148"/>
        <v>0</v>
      </c>
      <c r="BG106" s="104"/>
      <c r="BH106" s="104">
        <f t="shared" si="149"/>
        <v>0</v>
      </c>
      <c r="BI106" s="104"/>
      <c r="BJ106" s="104">
        <f t="shared" si="150"/>
        <v>0</v>
      </c>
      <c r="BK106" s="104"/>
      <c r="BL106" s="104"/>
      <c r="BM106" s="104"/>
      <c r="BN106" s="104" t="s">
        <v>904</v>
      </c>
      <c r="BO106" s="104" t="s">
        <v>1579</v>
      </c>
      <c r="BP106" s="104" t="s">
        <v>964</v>
      </c>
      <c r="BQ106" s="104" t="s">
        <v>963</v>
      </c>
      <c r="BR106" s="104" t="s">
        <v>962</v>
      </c>
      <c r="BS106" s="104" t="s">
        <v>1268</v>
      </c>
      <c r="BT106" s="55" t="s">
        <v>965</v>
      </c>
    </row>
    <row r="107" spans="1:77" ht="59.25" customHeight="1" outlineLevel="1" x14ac:dyDescent="0.25">
      <c r="A107" s="106"/>
      <c r="B107" s="59">
        <v>7</v>
      </c>
      <c r="C107" s="67" t="s">
        <v>1269</v>
      </c>
      <c r="D107" s="104" t="s">
        <v>1101</v>
      </c>
      <c r="E107" s="41" t="s">
        <v>10</v>
      </c>
      <c r="F107" s="41">
        <v>555420</v>
      </c>
      <c r="G107" s="104">
        <v>548920</v>
      </c>
      <c r="H107" s="104"/>
      <c r="I107" s="104"/>
      <c r="J107" s="104"/>
      <c r="K107" s="104"/>
      <c r="L107" s="104"/>
      <c r="M107" s="104">
        <v>0</v>
      </c>
      <c r="N107" s="104">
        <f t="shared" si="151"/>
        <v>0</v>
      </c>
      <c r="O107" s="104">
        <v>384244</v>
      </c>
      <c r="P107" s="104">
        <v>1</v>
      </c>
      <c r="Q107" s="26">
        <v>118149</v>
      </c>
      <c r="R107" s="104">
        <v>1</v>
      </c>
      <c r="S107" s="104">
        <f t="shared" si="138"/>
        <v>118149</v>
      </c>
      <c r="T107" s="104"/>
      <c r="U107" s="26">
        <f t="shared" si="155"/>
        <v>118149</v>
      </c>
      <c r="V107" s="113">
        <f t="shared" si="155"/>
        <v>1</v>
      </c>
      <c r="W107" s="113"/>
      <c r="X107" s="113">
        <f t="shared" si="156"/>
        <v>0</v>
      </c>
      <c r="Y107" s="113">
        <v>118149</v>
      </c>
      <c r="Z107" s="113">
        <f t="shared" si="157"/>
        <v>1</v>
      </c>
      <c r="AA107" s="118">
        <v>-118149</v>
      </c>
      <c r="AB107" s="122"/>
      <c r="AC107" s="26">
        <f t="shared" si="142"/>
        <v>0</v>
      </c>
      <c r="AD107" s="104">
        <f t="shared" si="142"/>
        <v>0</v>
      </c>
      <c r="AE107" s="104"/>
      <c r="AF107" s="104">
        <f t="shared" si="143"/>
        <v>0</v>
      </c>
      <c r="AG107" s="104"/>
      <c r="AH107" s="104">
        <f t="shared" si="144"/>
        <v>0</v>
      </c>
      <c r="AI107" s="104">
        <f t="shared" si="152"/>
        <v>0</v>
      </c>
      <c r="AJ107" s="104"/>
      <c r="AK107" s="104">
        <v>1</v>
      </c>
      <c r="AL107" s="104">
        <v>266095</v>
      </c>
      <c r="AM107" s="104">
        <v>1</v>
      </c>
      <c r="AN107" s="104">
        <f t="shared" si="145"/>
        <v>-118149</v>
      </c>
      <c r="AO107" s="104"/>
      <c r="AP107" s="113">
        <f t="shared" si="153"/>
        <v>118149</v>
      </c>
      <c r="AQ107" s="113"/>
      <c r="AR107" s="34">
        <f t="shared" si="146"/>
        <v>384244</v>
      </c>
      <c r="AS107" s="10">
        <f t="shared" si="146"/>
        <v>1</v>
      </c>
      <c r="AT107" s="10"/>
      <c r="AU107" s="10">
        <f t="shared" si="147"/>
        <v>0</v>
      </c>
      <c r="AV107" s="10">
        <f>266095+118149</f>
        <v>384244</v>
      </c>
      <c r="AW107" s="10">
        <f t="shared" si="154"/>
        <v>1</v>
      </c>
      <c r="AX107" s="10">
        <f t="shared" si="158"/>
        <v>164676</v>
      </c>
      <c r="AY107" s="10">
        <v>1</v>
      </c>
      <c r="AZ107" s="10"/>
      <c r="BA107" s="10">
        <v>0</v>
      </c>
      <c r="BB107" s="10">
        <v>0</v>
      </c>
      <c r="BC107" s="10">
        <f t="shared" si="135"/>
        <v>0</v>
      </c>
      <c r="BD107" s="10"/>
      <c r="BE107" s="26">
        <f t="shared" si="148"/>
        <v>0</v>
      </c>
      <c r="BF107" s="104">
        <f t="shared" si="148"/>
        <v>0</v>
      </c>
      <c r="BG107" s="104"/>
      <c r="BH107" s="104">
        <f t="shared" si="149"/>
        <v>0</v>
      </c>
      <c r="BI107" s="104"/>
      <c r="BJ107" s="104">
        <f t="shared" si="150"/>
        <v>0</v>
      </c>
      <c r="BK107" s="104"/>
      <c r="BL107" s="104"/>
      <c r="BM107" s="104"/>
      <c r="BN107" s="104" t="s">
        <v>905</v>
      </c>
      <c r="BO107" s="104" t="s">
        <v>1580</v>
      </c>
      <c r="BP107" s="104" t="s">
        <v>960</v>
      </c>
      <c r="BQ107" s="104" t="s">
        <v>959</v>
      </c>
      <c r="BR107" s="104" t="s">
        <v>958</v>
      </c>
      <c r="BS107" s="104" t="s">
        <v>957</v>
      </c>
      <c r="BT107" s="55" t="s">
        <v>961</v>
      </c>
    </row>
    <row r="108" spans="1:77" ht="45" customHeight="1" outlineLevel="1" x14ac:dyDescent="0.25">
      <c r="A108" s="106"/>
      <c r="B108" s="59">
        <v>8</v>
      </c>
      <c r="C108" s="67" t="s">
        <v>1103</v>
      </c>
      <c r="D108" s="104" t="s">
        <v>1102</v>
      </c>
      <c r="E108" s="41">
        <v>2015</v>
      </c>
      <c r="F108" s="41">
        <v>295898</v>
      </c>
      <c r="G108" s="104">
        <v>286898</v>
      </c>
      <c r="H108" s="104"/>
      <c r="I108" s="104"/>
      <c r="J108" s="104"/>
      <c r="K108" s="104"/>
      <c r="L108" s="104"/>
      <c r="M108" s="104">
        <v>0</v>
      </c>
      <c r="N108" s="104">
        <f t="shared" si="151"/>
        <v>0</v>
      </c>
      <c r="O108" s="104">
        <v>200829</v>
      </c>
      <c r="P108" s="104">
        <v>1</v>
      </c>
      <c r="Q108" s="26">
        <v>200829</v>
      </c>
      <c r="R108" s="104">
        <v>1</v>
      </c>
      <c r="S108" s="104">
        <f t="shared" si="138"/>
        <v>200829</v>
      </c>
      <c r="T108" s="104"/>
      <c r="U108" s="26">
        <f t="shared" si="155"/>
        <v>200829</v>
      </c>
      <c r="V108" s="113">
        <f t="shared" si="155"/>
        <v>1</v>
      </c>
      <c r="W108" s="113"/>
      <c r="X108" s="113">
        <f t="shared" si="156"/>
        <v>0</v>
      </c>
      <c r="Y108" s="113">
        <v>200829</v>
      </c>
      <c r="Z108" s="113">
        <f t="shared" si="157"/>
        <v>1</v>
      </c>
      <c r="AA108" s="118">
        <v>-200829</v>
      </c>
      <c r="AB108" s="122"/>
      <c r="AC108" s="26">
        <f t="shared" si="142"/>
        <v>0</v>
      </c>
      <c r="AD108" s="104">
        <f t="shared" si="142"/>
        <v>0</v>
      </c>
      <c r="AE108" s="104"/>
      <c r="AF108" s="104">
        <f t="shared" si="143"/>
        <v>0</v>
      </c>
      <c r="AG108" s="104"/>
      <c r="AH108" s="104">
        <f t="shared" si="144"/>
        <v>0</v>
      </c>
      <c r="AI108" s="104">
        <f t="shared" si="152"/>
        <v>0</v>
      </c>
      <c r="AJ108" s="104">
        <v>1</v>
      </c>
      <c r="AK108" s="104"/>
      <c r="AL108" s="104">
        <v>0</v>
      </c>
      <c r="AM108" s="104">
        <v>0</v>
      </c>
      <c r="AN108" s="104">
        <f t="shared" si="145"/>
        <v>-200829</v>
      </c>
      <c r="AO108" s="104"/>
      <c r="AP108" s="113">
        <f t="shared" si="153"/>
        <v>200829</v>
      </c>
      <c r="AQ108" s="113"/>
      <c r="AR108" s="34">
        <f t="shared" si="146"/>
        <v>200829</v>
      </c>
      <c r="AS108" s="10">
        <f t="shared" si="146"/>
        <v>1</v>
      </c>
      <c r="AT108" s="10"/>
      <c r="AU108" s="10">
        <f t="shared" si="147"/>
        <v>0</v>
      </c>
      <c r="AV108" s="10">
        <f>200829</f>
        <v>200829</v>
      </c>
      <c r="AW108" s="10">
        <f t="shared" si="154"/>
        <v>1</v>
      </c>
      <c r="AX108" s="10">
        <f t="shared" si="158"/>
        <v>86069.57142857142</v>
      </c>
      <c r="AY108" s="10"/>
      <c r="AZ108" s="10"/>
      <c r="BA108" s="10">
        <v>0</v>
      </c>
      <c r="BB108" s="10">
        <v>0</v>
      </c>
      <c r="BC108" s="10">
        <f t="shared" si="135"/>
        <v>0</v>
      </c>
      <c r="BD108" s="10"/>
      <c r="BE108" s="26">
        <f t="shared" si="148"/>
        <v>0</v>
      </c>
      <c r="BF108" s="104">
        <f t="shared" si="148"/>
        <v>0</v>
      </c>
      <c r="BG108" s="104"/>
      <c r="BH108" s="104">
        <f t="shared" si="149"/>
        <v>0</v>
      </c>
      <c r="BI108" s="104"/>
      <c r="BJ108" s="104">
        <f t="shared" si="150"/>
        <v>0</v>
      </c>
      <c r="BK108" s="104"/>
      <c r="BL108" s="104"/>
      <c r="BM108" s="104"/>
      <c r="BN108" s="104" t="s">
        <v>901</v>
      </c>
      <c r="BO108" s="104" t="s">
        <v>1581</v>
      </c>
      <c r="BP108" s="104" t="s">
        <v>956</v>
      </c>
      <c r="BQ108" s="104" t="s">
        <v>955</v>
      </c>
      <c r="BR108" s="104" t="s">
        <v>954</v>
      </c>
      <c r="BS108" s="104" t="s">
        <v>11</v>
      </c>
      <c r="BT108" s="55" t="s">
        <v>1271</v>
      </c>
    </row>
    <row r="109" spans="1:77" ht="48.75" customHeight="1" outlineLevel="1" x14ac:dyDescent="0.25">
      <c r="A109" s="106"/>
      <c r="B109" s="59">
        <v>9</v>
      </c>
      <c r="C109" s="67" t="s">
        <v>1460</v>
      </c>
      <c r="D109" s="104" t="s">
        <v>1104</v>
      </c>
      <c r="E109" s="41">
        <v>2016</v>
      </c>
      <c r="F109" s="41">
        <v>405088</v>
      </c>
      <c r="G109" s="104">
        <v>398588</v>
      </c>
      <c r="H109" s="104"/>
      <c r="I109" s="104"/>
      <c r="J109" s="104"/>
      <c r="K109" s="104"/>
      <c r="L109" s="104"/>
      <c r="M109" s="104">
        <v>0</v>
      </c>
      <c r="N109" s="104">
        <f t="shared" si="151"/>
        <v>0</v>
      </c>
      <c r="O109" s="104">
        <v>279012</v>
      </c>
      <c r="P109" s="104">
        <v>1</v>
      </c>
      <c r="Q109" s="26">
        <v>0</v>
      </c>
      <c r="R109" s="104">
        <v>0</v>
      </c>
      <c r="S109" s="104">
        <f t="shared" si="138"/>
        <v>0</v>
      </c>
      <c r="T109" s="104"/>
      <c r="U109" s="26">
        <v>0</v>
      </c>
      <c r="V109" s="113">
        <f t="shared" si="155"/>
        <v>0</v>
      </c>
      <c r="W109" s="113"/>
      <c r="X109" s="113">
        <f t="shared" si="156"/>
        <v>0</v>
      </c>
      <c r="Y109" s="113"/>
      <c r="Z109" s="113">
        <f t="shared" si="157"/>
        <v>0</v>
      </c>
      <c r="AA109" s="118">
        <v>0</v>
      </c>
      <c r="AB109" s="122"/>
      <c r="AC109" s="26">
        <v>0</v>
      </c>
      <c r="AD109" s="104">
        <f t="shared" si="142"/>
        <v>0</v>
      </c>
      <c r="AE109" s="104"/>
      <c r="AF109" s="104">
        <f t="shared" si="143"/>
        <v>0</v>
      </c>
      <c r="AG109" s="104"/>
      <c r="AH109" s="104">
        <f t="shared" si="144"/>
        <v>0</v>
      </c>
      <c r="AI109" s="104">
        <f t="shared" si="152"/>
        <v>0</v>
      </c>
      <c r="AJ109" s="104"/>
      <c r="AK109" s="104"/>
      <c r="AL109" s="104">
        <v>279012</v>
      </c>
      <c r="AM109" s="104">
        <v>1</v>
      </c>
      <c r="AN109" s="104">
        <f t="shared" si="145"/>
        <v>0</v>
      </c>
      <c r="AO109" s="104"/>
      <c r="AP109" s="113">
        <f t="shared" si="153"/>
        <v>0</v>
      </c>
      <c r="AQ109" s="113"/>
      <c r="AR109" s="34">
        <f t="shared" si="146"/>
        <v>279012</v>
      </c>
      <c r="AS109" s="10">
        <f t="shared" si="146"/>
        <v>1</v>
      </c>
      <c r="AT109" s="10"/>
      <c r="AU109" s="10">
        <f t="shared" si="147"/>
        <v>0</v>
      </c>
      <c r="AV109" s="10">
        <v>279012</v>
      </c>
      <c r="AW109" s="10">
        <f t="shared" si="154"/>
        <v>1</v>
      </c>
      <c r="AX109" s="10">
        <f t="shared" si="158"/>
        <v>119576.57142857143</v>
      </c>
      <c r="AY109" s="10">
        <v>1</v>
      </c>
      <c r="AZ109" s="10"/>
      <c r="BA109" s="10">
        <v>0</v>
      </c>
      <c r="BB109" s="10">
        <v>0</v>
      </c>
      <c r="BC109" s="10">
        <f t="shared" si="135"/>
        <v>0</v>
      </c>
      <c r="BD109" s="10"/>
      <c r="BE109" s="26">
        <f t="shared" si="148"/>
        <v>0</v>
      </c>
      <c r="BF109" s="104">
        <f t="shared" si="148"/>
        <v>0</v>
      </c>
      <c r="BG109" s="104"/>
      <c r="BH109" s="104">
        <f t="shared" si="149"/>
        <v>0</v>
      </c>
      <c r="BI109" s="104"/>
      <c r="BJ109" s="104">
        <f t="shared" si="150"/>
        <v>0</v>
      </c>
      <c r="BK109" s="104"/>
      <c r="BL109" s="104"/>
      <c r="BM109" s="104"/>
      <c r="BN109" s="104" t="s">
        <v>902</v>
      </c>
      <c r="BO109" s="104" t="s">
        <v>1580</v>
      </c>
      <c r="BP109" s="104" t="s">
        <v>967</v>
      </c>
      <c r="BQ109" s="104" t="s">
        <v>1099</v>
      </c>
      <c r="BR109" s="104" t="s">
        <v>966</v>
      </c>
      <c r="BS109" s="104" t="s">
        <v>11</v>
      </c>
      <c r="BT109" s="55" t="s">
        <v>968</v>
      </c>
    </row>
    <row r="110" spans="1:77" ht="47.25" customHeight="1" outlineLevel="1" x14ac:dyDescent="0.25">
      <c r="A110" s="106"/>
      <c r="B110" s="59">
        <v>10</v>
      </c>
      <c r="C110" s="67" t="s">
        <v>1270</v>
      </c>
      <c r="D110" s="104" t="s">
        <v>1105</v>
      </c>
      <c r="E110" s="41" t="s">
        <v>10</v>
      </c>
      <c r="F110" s="41">
        <v>417010</v>
      </c>
      <c r="G110" s="104">
        <v>414210</v>
      </c>
      <c r="H110" s="104"/>
      <c r="I110" s="104"/>
      <c r="J110" s="104"/>
      <c r="K110" s="104"/>
      <c r="L110" s="104"/>
      <c r="M110" s="104">
        <v>0</v>
      </c>
      <c r="N110" s="104">
        <f t="shared" si="151"/>
        <v>0</v>
      </c>
      <c r="O110" s="104">
        <v>289947</v>
      </c>
      <c r="P110" s="104">
        <v>1</v>
      </c>
      <c r="Q110" s="26">
        <v>100000</v>
      </c>
      <c r="R110" s="104">
        <v>1</v>
      </c>
      <c r="S110" s="104">
        <f t="shared" si="138"/>
        <v>100000</v>
      </c>
      <c r="T110" s="104"/>
      <c r="U110" s="26">
        <f t="shared" si="155"/>
        <v>100000</v>
      </c>
      <c r="V110" s="113">
        <f t="shared" si="155"/>
        <v>1</v>
      </c>
      <c r="W110" s="113"/>
      <c r="X110" s="113">
        <f t="shared" si="156"/>
        <v>0</v>
      </c>
      <c r="Y110" s="113">
        <v>100000</v>
      </c>
      <c r="Z110" s="113">
        <f t="shared" si="157"/>
        <v>1</v>
      </c>
      <c r="AA110" s="118">
        <v>-100000</v>
      </c>
      <c r="AB110" s="122"/>
      <c r="AC110" s="26">
        <f t="shared" si="142"/>
        <v>0</v>
      </c>
      <c r="AD110" s="104">
        <f t="shared" si="142"/>
        <v>0</v>
      </c>
      <c r="AE110" s="104"/>
      <c r="AF110" s="104">
        <f t="shared" si="143"/>
        <v>0</v>
      </c>
      <c r="AG110" s="104"/>
      <c r="AH110" s="104">
        <f t="shared" si="144"/>
        <v>0</v>
      </c>
      <c r="AI110" s="104">
        <f t="shared" si="152"/>
        <v>0</v>
      </c>
      <c r="AJ110" s="104"/>
      <c r="AK110" s="104">
        <v>1</v>
      </c>
      <c r="AL110" s="104">
        <v>189947</v>
      </c>
      <c r="AM110" s="104">
        <v>1</v>
      </c>
      <c r="AN110" s="104">
        <f t="shared" si="145"/>
        <v>-100000</v>
      </c>
      <c r="AO110" s="104"/>
      <c r="AP110" s="113">
        <f t="shared" si="153"/>
        <v>100000</v>
      </c>
      <c r="AQ110" s="113"/>
      <c r="AR110" s="34">
        <f t="shared" si="146"/>
        <v>289947</v>
      </c>
      <c r="AS110" s="10">
        <f t="shared" si="146"/>
        <v>1</v>
      </c>
      <c r="AT110" s="10"/>
      <c r="AU110" s="10">
        <f t="shared" si="147"/>
        <v>0</v>
      </c>
      <c r="AV110" s="10">
        <f>289947</f>
        <v>289947</v>
      </c>
      <c r="AW110" s="10">
        <f t="shared" si="154"/>
        <v>1</v>
      </c>
      <c r="AX110" s="10">
        <f t="shared" si="158"/>
        <v>124263</v>
      </c>
      <c r="AY110" s="10">
        <v>1</v>
      </c>
      <c r="AZ110" s="10"/>
      <c r="BA110" s="10">
        <v>0</v>
      </c>
      <c r="BB110" s="10">
        <v>0</v>
      </c>
      <c r="BC110" s="10">
        <f t="shared" si="135"/>
        <v>0</v>
      </c>
      <c r="BD110" s="10"/>
      <c r="BE110" s="26">
        <f t="shared" si="148"/>
        <v>0</v>
      </c>
      <c r="BF110" s="104">
        <f t="shared" si="148"/>
        <v>0</v>
      </c>
      <c r="BG110" s="104"/>
      <c r="BH110" s="104">
        <f t="shared" si="149"/>
        <v>0</v>
      </c>
      <c r="BI110" s="104"/>
      <c r="BJ110" s="104">
        <f t="shared" si="150"/>
        <v>0</v>
      </c>
      <c r="BK110" s="104"/>
      <c r="BL110" s="104"/>
      <c r="BM110" s="104"/>
      <c r="BN110" s="104" t="s">
        <v>903</v>
      </c>
      <c r="BO110" s="104" t="s">
        <v>403</v>
      </c>
      <c r="BP110" s="104" t="s">
        <v>946</v>
      </c>
      <c r="BQ110" s="104" t="s">
        <v>945</v>
      </c>
      <c r="BR110" s="104" t="s">
        <v>944</v>
      </c>
      <c r="BS110" s="104" t="s">
        <v>1582</v>
      </c>
      <c r="BT110" s="55" t="s">
        <v>947</v>
      </c>
    </row>
    <row r="111" spans="1:77" s="35" customFormat="1" ht="22.5" x14ac:dyDescent="0.25">
      <c r="A111" s="48"/>
      <c r="B111" s="60">
        <v>17</v>
      </c>
      <c r="C111" s="26" t="s">
        <v>535</v>
      </c>
      <c r="D111" s="26"/>
      <c r="E111" s="26"/>
      <c r="F111" s="26">
        <f>F112+F132</f>
        <v>11215259.649</v>
      </c>
      <c r="G111" s="26">
        <f>G112+G132</f>
        <v>10937959</v>
      </c>
      <c r="H111" s="104">
        <f>H112</f>
        <v>2921801.0949999997</v>
      </c>
      <c r="I111" s="104">
        <f>I112</f>
        <v>440262.90500000009</v>
      </c>
      <c r="J111" s="104"/>
      <c r="K111" s="104"/>
      <c r="L111" s="104"/>
      <c r="M111" s="26">
        <f>M112+M132</f>
        <v>1770351</v>
      </c>
      <c r="N111" s="26">
        <f>N112+N132</f>
        <v>1897950.0000000002</v>
      </c>
      <c r="O111" s="26">
        <v>6625509</v>
      </c>
      <c r="P111" s="26">
        <v>17</v>
      </c>
      <c r="Q111" s="26">
        <v>3572360</v>
      </c>
      <c r="R111" s="26">
        <v>12</v>
      </c>
      <c r="S111" s="26">
        <f t="shared" ref="S111:AI111" si="159">S112+S132</f>
        <v>1977395</v>
      </c>
      <c r="T111" s="26">
        <f t="shared" si="159"/>
        <v>0</v>
      </c>
      <c r="U111" s="26">
        <f t="shared" ref="U111:V111" si="160">U112+U132</f>
        <v>3450991</v>
      </c>
      <c r="V111" s="26">
        <f t="shared" si="160"/>
        <v>13</v>
      </c>
      <c r="W111" s="26">
        <f t="shared" ref="W111:Z111" si="161">W112+W132</f>
        <v>1593594</v>
      </c>
      <c r="X111" s="26">
        <f t="shared" si="161"/>
        <v>4</v>
      </c>
      <c r="Y111" s="26">
        <f t="shared" si="161"/>
        <v>1857397</v>
      </c>
      <c r="Z111" s="26">
        <f t="shared" si="161"/>
        <v>9</v>
      </c>
      <c r="AA111" s="26">
        <f t="shared" ref="AA111:AB111" si="162">AA112+AA132</f>
        <v>-1857397</v>
      </c>
      <c r="AB111" s="26">
        <f t="shared" si="162"/>
        <v>114561</v>
      </c>
      <c r="AC111" s="26">
        <f t="shared" si="159"/>
        <v>1708155</v>
      </c>
      <c r="AD111" s="26">
        <f t="shared" si="159"/>
        <v>7</v>
      </c>
      <c r="AE111" s="26">
        <f t="shared" si="159"/>
        <v>1708155</v>
      </c>
      <c r="AF111" s="26">
        <f t="shared" si="159"/>
        <v>7</v>
      </c>
      <c r="AG111" s="26">
        <f t="shared" si="159"/>
        <v>0</v>
      </c>
      <c r="AH111" s="26">
        <f t="shared" si="159"/>
        <v>0</v>
      </c>
      <c r="AI111" s="26">
        <f t="shared" si="159"/>
        <v>189794.99999999997</v>
      </c>
      <c r="AJ111" s="67">
        <f t="shared" ref="AJ111:AP111" si="163">AJ112+AJ132</f>
        <v>7</v>
      </c>
      <c r="AK111" s="67">
        <f t="shared" si="163"/>
        <v>6</v>
      </c>
      <c r="AL111" s="67">
        <f t="shared" si="163"/>
        <v>3889216</v>
      </c>
      <c r="AM111" s="67">
        <f t="shared" si="163"/>
        <v>5</v>
      </c>
      <c r="AN111" s="67">
        <f t="shared" si="163"/>
        <v>-3194621</v>
      </c>
      <c r="AO111" s="67">
        <f t="shared" si="163"/>
        <v>0</v>
      </c>
      <c r="AP111" s="67">
        <f t="shared" si="163"/>
        <v>1742836</v>
      </c>
      <c r="AQ111" s="26"/>
      <c r="AR111" s="26">
        <f t="shared" ref="AR111:AZ111" si="164">AR112+AR132</f>
        <v>7083837</v>
      </c>
      <c r="AS111" s="67">
        <f t="shared" si="164"/>
        <v>16</v>
      </c>
      <c r="AT111" s="26">
        <f t="shared" si="164"/>
        <v>1421506</v>
      </c>
      <c r="AU111" s="26">
        <f t="shared" si="164"/>
        <v>4</v>
      </c>
      <c r="AV111" s="26">
        <f t="shared" si="164"/>
        <v>5662331</v>
      </c>
      <c r="AW111" s="26">
        <f t="shared" si="164"/>
        <v>12</v>
      </c>
      <c r="AX111" s="26">
        <f t="shared" si="164"/>
        <v>755380.22222222225</v>
      </c>
      <c r="AY111" s="26">
        <f t="shared" si="164"/>
        <v>9</v>
      </c>
      <c r="AZ111" s="26">
        <f t="shared" si="164"/>
        <v>1</v>
      </c>
      <c r="BA111" s="26">
        <v>1212210</v>
      </c>
      <c r="BB111" s="26">
        <v>4</v>
      </c>
      <c r="BC111" s="10">
        <f t="shared" si="135"/>
        <v>1212210</v>
      </c>
      <c r="BD111" s="26"/>
      <c r="BE111" s="26">
        <f t="shared" ref="BE111:BT111" si="165">BE112+BE132</f>
        <v>0</v>
      </c>
      <c r="BF111" s="67">
        <f t="shared" si="165"/>
        <v>0</v>
      </c>
      <c r="BG111" s="26">
        <f t="shared" si="165"/>
        <v>0</v>
      </c>
      <c r="BH111" s="26">
        <f t="shared" si="165"/>
        <v>0</v>
      </c>
      <c r="BI111" s="26">
        <f t="shared" si="165"/>
        <v>0</v>
      </c>
      <c r="BJ111" s="26">
        <f t="shared" si="165"/>
        <v>0</v>
      </c>
      <c r="BK111" s="26">
        <f t="shared" si="165"/>
        <v>0</v>
      </c>
      <c r="BL111" s="26">
        <f t="shared" si="165"/>
        <v>0</v>
      </c>
      <c r="BM111" s="26">
        <f t="shared" si="165"/>
        <v>0</v>
      </c>
      <c r="BN111" s="26">
        <f t="shared" si="165"/>
        <v>0</v>
      </c>
      <c r="BO111" s="26">
        <f t="shared" si="165"/>
        <v>0</v>
      </c>
      <c r="BP111" s="26">
        <f t="shared" si="165"/>
        <v>0</v>
      </c>
      <c r="BQ111" s="26">
        <f t="shared" si="165"/>
        <v>0</v>
      </c>
      <c r="BR111" s="26">
        <f t="shared" si="165"/>
        <v>0</v>
      </c>
      <c r="BS111" s="26">
        <f t="shared" si="165"/>
        <v>0</v>
      </c>
      <c r="BT111" s="58">
        <f t="shared" si="165"/>
        <v>0</v>
      </c>
      <c r="BU111" s="25"/>
      <c r="BV111" s="25"/>
      <c r="BW111" s="25"/>
      <c r="BX111" s="25"/>
      <c r="BY111" s="25"/>
    </row>
    <row r="112" spans="1:77" ht="11.25" outlineLevel="1" x14ac:dyDescent="0.25">
      <c r="A112" s="106"/>
      <c r="B112" s="107">
        <v>16</v>
      </c>
      <c r="C112" s="104" t="s">
        <v>7</v>
      </c>
      <c r="D112" s="104"/>
      <c r="E112" s="104"/>
      <c r="F112" s="104">
        <f>SUM(F113:F131)</f>
        <v>10426440.149</v>
      </c>
      <c r="G112" s="104">
        <f>SUM(G113:G131)</f>
        <v>10163607</v>
      </c>
      <c r="H112" s="104">
        <f>H113+H114+H115+H116</f>
        <v>2921801.0949999997</v>
      </c>
      <c r="I112" s="104">
        <f>I113+I114+I115+I116</f>
        <v>440262.90500000009</v>
      </c>
      <c r="J112" s="104"/>
      <c r="K112" s="104"/>
      <c r="L112" s="104"/>
      <c r="M112" s="104">
        <f>SUM(M113:M131)</f>
        <v>1770351</v>
      </c>
      <c r="N112" s="104">
        <f>SUM(N113:N131)</f>
        <v>1897950.0000000002</v>
      </c>
      <c r="O112" s="104">
        <v>6277051</v>
      </c>
      <c r="P112" s="104">
        <v>16</v>
      </c>
      <c r="Q112" s="26">
        <v>3422360</v>
      </c>
      <c r="R112" s="104">
        <v>11</v>
      </c>
      <c r="S112" s="26">
        <f t="shared" ref="S112:AI112" si="166">SUM(S113:S131)</f>
        <v>1827395</v>
      </c>
      <c r="T112" s="26">
        <f t="shared" si="166"/>
        <v>0</v>
      </c>
      <c r="U112" s="26">
        <f t="shared" ref="U112:V112" si="167">SUM(U113:U131)</f>
        <v>3300991</v>
      </c>
      <c r="V112" s="67">
        <f t="shared" si="167"/>
        <v>12</v>
      </c>
      <c r="W112" s="67">
        <f t="shared" ref="W112:Z112" si="168">SUM(W113:W131)</f>
        <v>1593594</v>
      </c>
      <c r="X112" s="67">
        <f t="shared" si="168"/>
        <v>4</v>
      </c>
      <c r="Y112" s="67">
        <f t="shared" si="168"/>
        <v>1707397</v>
      </c>
      <c r="Z112" s="67">
        <f t="shared" si="168"/>
        <v>8</v>
      </c>
      <c r="AA112" s="67">
        <f t="shared" ref="AA112:AB112" si="169">SUM(AA113:AA131)</f>
        <v>-1707397</v>
      </c>
      <c r="AB112" s="67">
        <f t="shared" si="169"/>
        <v>114561</v>
      </c>
      <c r="AC112" s="26">
        <f t="shared" si="166"/>
        <v>1708155</v>
      </c>
      <c r="AD112" s="104">
        <f t="shared" si="166"/>
        <v>7</v>
      </c>
      <c r="AE112" s="104">
        <f t="shared" si="166"/>
        <v>1708155</v>
      </c>
      <c r="AF112" s="104">
        <f t="shared" si="166"/>
        <v>7</v>
      </c>
      <c r="AG112" s="104">
        <f t="shared" si="166"/>
        <v>0</v>
      </c>
      <c r="AH112" s="104">
        <f t="shared" si="166"/>
        <v>0</v>
      </c>
      <c r="AI112" s="104">
        <f t="shared" si="166"/>
        <v>189794.99999999997</v>
      </c>
      <c r="AJ112" s="113">
        <f t="shared" ref="AJ112:AP112" si="170">SUM(AJ113:AJ131)</f>
        <v>7</v>
      </c>
      <c r="AK112" s="113">
        <f t="shared" si="170"/>
        <v>5</v>
      </c>
      <c r="AL112" s="113">
        <f t="shared" si="170"/>
        <v>3342299</v>
      </c>
      <c r="AM112" s="113">
        <f t="shared" si="170"/>
        <v>5</v>
      </c>
      <c r="AN112" s="113">
        <f t="shared" si="170"/>
        <v>-3044621</v>
      </c>
      <c r="AO112" s="113">
        <f t="shared" si="170"/>
        <v>0</v>
      </c>
      <c r="AP112" s="113">
        <f t="shared" si="170"/>
        <v>1592836</v>
      </c>
      <c r="AQ112" s="113"/>
      <c r="AR112" s="26">
        <f t="shared" ref="AR112:AZ112" si="171">SUM(AR113:AR131)</f>
        <v>6386920</v>
      </c>
      <c r="AS112" s="104">
        <f t="shared" si="171"/>
        <v>15</v>
      </c>
      <c r="AT112" s="104">
        <f t="shared" si="171"/>
        <v>1421506</v>
      </c>
      <c r="AU112" s="104">
        <f t="shared" si="171"/>
        <v>3</v>
      </c>
      <c r="AV112" s="104">
        <f t="shared" si="171"/>
        <v>4965414</v>
      </c>
      <c r="AW112" s="104">
        <f t="shared" si="171"/>
        <v>12</v>
      </c>
      <c r="AX112" s="104">
        <f t="shared" si="171"/>
        <v>677945</v>
      </c>
      <c r="AY112" s="104">
        <f t="shared" si="171"/>
        <v>8</v>
      </c>
      <c r="AZ112" s="104">
        <f t="shared" si="171"/>
        <v>1</v>
      </c>
      <c r="BA112" s="104">
        <v>1212210</v>
      </c>
      <c r="BB112" s="104">
        <v>4</v>
      </c>
      <c r="BC112" s="10">
        <f t="shared" si="135"/>
        <v>1212210</v>
      </c>
      <c r="BD112" s="104"/>
      <c r="BE112" s="26">
        <f t="shared" ref="BE112:BT112" si="172">SUM(BE113:BE131)</f>
        <v>0</v>
      </c>
      <c r="BF112" s="104">
        <f t="shared" si="172"/>
        <v>0</v>
      </c>
      <c r="BG112" s="104">
        <f t="shared" si="172"/>
        <v>0</v>
      </c>
      <c r="BH112" s="104">
        <f t="shared" si="172"/>
        <v>0</v>
      </c>
      <c r="BI112" s="104">
        <f t="shared" si="172"/>
        <v>0</v>
      </c>
      <c r="BJ112" s="104">
        <f t="shared" si="172"/>
        <v>0</v>
      </c>
      <c r="BK112" s="104">
        <f t="shared" si="172"/>
        <v>0</v>
      </c>
      <c r="BL112" s="104">
        <f t="shared" si="172"/>
        <v>0</v>
      </c>
      <c r="BM112" s="104">
        <f t="shared" si="172"/>
        <v>0</v>
      </c>
      <c r="BN112" s="104">
        <f t="shared" si="172"/>
        <v>0</v>
      </c>
      <c r="BO112" s="104">
        <f t="shared" si="172"/>
        <v>0</v>
      </c>
      <c r="BP112" s="104">
        <f t="shared" si="172"/>
        <v>0</v>
      </c>
      <c r="BQ112" s="104">
        <f t="shared" si="172"/>
        <v>0</v>
      </c>
      <c r="BR112" s="104">
        <f t="shared" si="172"/>
        <v>0</v>
      </c>
      <c r="BS112" s="104">
        <f t="shared" si="172"/>
        <v>0</v>
      </c>
      <c r="BT112" s="55">
        <f t="shared" si="172"/>
        <v>0</v>
      </c>
    </row>
    <row r="113" spans="1:72" ht="45" customHeight="1" outlineLevel="1" x14ac:dyDescent="0.25">
      <c r="A113" s="106"/>
      <c r="B113" s="59">
        <v>1</v>
      </c>
      <c r="C113" s="104" t="s">
        <v>282</v>
      </c>
      <c r="D113" s="104" t="s">
        <v>769</v>
      </c>
      <c r="E113" s="104" t="s">
        <v>9</v>
      </c>
      <c r="F113" s="104">
        <v>438594</v>
      </c>
      <c r="G113" s="104">
        <v>429200</v>
      </c>
      <c r="H113" s="104"/>
      <c r="I113" s="104">
        <f t="shared" ref="I113:I116" si="173">G113-H113</f>
        <v>429200</v>
      </c>
      <c r="J113" s="104">
        <v>1</v>
      </c>
      <c r="K113" s="104">
        <v>1</v>
      </c>
      <c r="L113" s="104"/>
      <c r="M113" s="104">
        <v>166667</v>
      </c>
      <c r="N113" s="104">
        <f>AC113+AI113</f>
        <v>262533.33333333331</v>
      </c>
      <c r="O113" s="104">
        <v>236280</v>
      </c>
      <c r="P113" s="104">
        <v>1</v>
      </c>
      <c r="Q113" s="26">
        <v>236280</v>
      </c>
      <c r="R113" s="104">
        <v>1</v>
      </c>
      <c r="S113" s="104">
        <f t="shared" si="138"/>
        <v>0</v>
      </c>
      <c r="T113" s="104"/>
      <c r="U113" s="26">
        <f t="shared" ref="U113:V116" si="174">W113+Y113</f>
        <v>236280</v>
      </c>
      <c r="V113" s="113">
        <f t="shared" si="174"/>
        <v>1</v>
      </c>
      <c r="W113" s="113">
        <v>236280</v>
      </c>
      <c r="X113" s="113">
        <f t="shared" ref="X113:X116" si="175">IF(W113,1,0)</f>
        <v>1</v>
      </c>
      <c r="Y113" s="113"/>
      <c r="Z113" s="113">
        <f t="shared" ref="Z113:Z116" si="176">IF(Y113,1,0)</f>
        <v>0</v>
      </c>
      <c r="AA113" s="118">
        <v>0</v>
      </c>
      <c r="AB113" s="122"/>
      <c r="AC113" s="26">
        <f t="shared" si="142"/>
        <v>236280</v>
      </c>
      <c r="AD113" s="104">
        <f t="shared" si="142"/>
        <v>1</v>
      </c>
      <c r="AE113" s="104">
        <v>236280</v>
      </c>
      <c r="AF113" s="104">
        <f t="shared" ref="AF113:AF131" si="177">IF(AE113,1,0)</f>
        <v>1</v>
      </c>
      <c r="AG113" s="104"/>
      <c r="AH113" s="104">
        <f t="shared" ref="AH113:AH131" si="178">IF(AG113,1,0)</f>
        <v>0</v>
      </c>
      <c r="AI113" s="104">
        <f>AC113/0.9*0.1</f>
        <v>26253.333333333332</v>
      </c>
      <c r="AJ113" s="104">
        <v>1</v>
      </c>
      <c r="AK113" s="104"/>
      <c r="AL113" s="104">
        <v>0</v>
      </c>
      <c r="AM113" s="104">
        <v>0</v>
      </c>
      <c r="AN113" s="104">
        <f t="shared" si="145"/>
        <v>0</v>
      </c>
      <c r="AO113" s="104"/>
      <c r="AP113" s="113">
        <f>U113-AC113</f>
        <v>0</v>
      </c>
      <c r="AQ113" s="113"/>
      <c r="AR113" s="34">
        <f>AT113+AV113</f>
        <v>0</v>
      </c>
      <c r="AS113" s="10">
        <v>0</v>
      </c>
      <c r="AT113" s="10">
        <v>0</v>
      </c>
      <c r="AU113" s="10">
        <v>0</v>
      </c>
      <c r="AV113" s="10">
        <v>0</v>
      </c>
      <c r="AW113" s="10">
        <v>0</v>
      </c>
      <c r="AX113" s="10">
        <v>0</v>
      </c>
      <c r="AY113" s="10"/>
      <c r="AZ113" s="10"/>
      <c r="BA113" s="10">
        <v>0</v>
      </c>
      <c r="BB113" s="10">
        <v>0</v>
      </c>
      <c r="BC113" s="10">
        <f t="shared" si="135"/>
        <v>0</v>
      </c>
      <c r="BD113" s="10"/>
      <c r="BE113" s="26">
        <f t="shared" si="148"/>
        <v>0</v>
      </c>
      <c r="BF113" s="104">
        <f t="shared" si="148"/>
        <v>0</v>
      </c>
      <c r="BG113" s="104"/>
      <c r="BH113" s="104">
        <f t="shared" si="149"/>
        <v>0</v>
      </c>
      <c r="BI113" s="104"/>
      <c r="BJ113" s="104">
        <f t="shared" si="150"/>
        <v>0</v>
      </c>
      <c r="BK113" s="104"/>
      <c r="BL113" s="104"/>
      <c r="BM113" s="104"/>
      <c r="BN113" s="104" t="s">
        <v>768</v>
      </c>
      <c r="BO113" s="104" t="s">
        <v>1583</v>
      </c>
      <c r="BP113" s="104" t="s">
        <v>770</v>
      </c>
      <c r="BQ113" s="104" t="s">
        <v>771</v>
      </c>
      <c r="BR113" s="104" t="s">
        <v>773</v>
      </c>
      <c r="BS113" s="104" t="s">
        <v>772</v>
      </c>
      <c r="BT113" s="55" t="s">
        <v>774</v>
      </c>
    </row>
    <row r="114" spans="1:72" ht="41.25" customHeight="1" outlineLevel="1" x14ac:dyDescent="0.25">
      <c r="A114" s="106"/>
      <c r="B114" s="59">
        <v>2</v>
      </c>
      <c r="C114" s="104" t="s">
        <v>1461</v>
      </c>
      <c r="D114" s="104" t="s">
        <v>283</v>
      </c>
      <c r="E114" s="104" t="s">
        <v>9</v>
      </c>
      <c r="F114" s="104">
        <v>1343109</v>
      </c>
      <c r="G114" s="104">
        <v>1326693</v>
      </c>
      <c r="H114" s="104">
        <v>1320049.3459999999</v>
      </c>
      <c r="I114" s="104">
        <f t="shared" si="173"/>
        <v>6643.6540000000969</v>
      </c>
      <c r="J114" s="104">
        <v>1</v>
      </c>
      <c r="K114" s="104">
        <v>1</v>
      </c>
      <c r="L114" s="104"/>
      <c r="M114" s="104">
        <v>333333</v>
      </c>
      <c r="N114" s="104">
        <f>AC114+AI114</f>
        <v>986715.5555555555</v>
      </c>
      <c r="O114" s="104">
        <v>894024</v>
      </c>
      <c r="P114" s="104">
        <v>1</v>
      </c>
      <c r="Q114" s="26">
        <v>894024</v>
      </c>
      <c r="R114" s="104">
        <v>1</v>
      </c>
      <c r="S114" s="104">
        <f t="shared" si="138"/>
        <v>5980</v>
      </c>
      <c r="T114" s="104"/>
      <c r="U114" s="26">
        <f t="shared" si="174"/>
        <v>888044</v>
      </c>
      <c r="V114" s="113">
        <f t="shared" si="174"/>
        <v>1</v>
      </c>
      <c r="W114" s="113">
        <v>888044</v>
      </c>
      <c r="X114" s="113">
        <f t="shared" si="175"/>
        <v>1</v>
      </c>
      <c r="Y114" s="113"/>
      <c r="Z114" s="113">
        <f t="shared" si="176"/>
        <v>0</v>
      </c>
      <c r="AA114" s="118">
        <v>0</v>
      </c>
      <c r="AB114" s="122"/>
      <c r="AC114" s="26">
        <f t="shared" si="142"/>
        <v>888044</v>
      </c>
      <c r="AD114" s="104">
        <f t="shared" si="142"/>
        <v>1</v>
      </c>
      <c r="AE114" s="104">
        <f>888044</f>
        <v>888044</v>
      </c>
      <c r="AF114" s="104">
        <f t="shared" si="177"/>
        <v>1</v>
      </c>
      <c r="AG114" s="104"/>
      <c r="AH114" s="104">
        <f t="shared" si="178"/>
        <v>0</v>
      </c>
      <c r="AI114" s="104">
        <f t="shared" ref="AI114:AI131" si="179">AC114/0.9*0.1</f>
        <v>98671.555555555562</v>
      </c>
      <c r="AJ114" s="104">
        <v>1</v>
      </c>
      <c r="AK114" s="104"/>
      <c r="AL114" s="104">
        <v>0</v>
      </c>
      <c r="AM114" s="104">
        <v>0</v>
      </c>
      <c r="AN114" s="104">
        <f t="shared" si="145"/>
        <v>-214561</v>
      </c>
      <c r="AO114" s="104"/>
      <c r="AP114" s="113">
        <f t="shared" ref="AP114:AP133" si="180">U114-AC114</f>
        <v>0</v>
      </c>
      <c r="AQ114" s="113"/>
      <c r="AR114" s="34">
        <f t="shared" ref="AR114:AR131" si="181">AT114+AV114</f>
        <v>214561</v>
      </c>
      <c r="AS114" s="10">
        <f t="shared" si="146"/>
        <v>1</v>
      </c>
      <c r="AT114" s="10">
        <f>180000+34561</f>
        <v>214561</v>
      </c>
      <c r="AU114" s="10">
        <f t="shared" si="147"/>
        <v>1</v>
      </c>
      <c r="AV114" s="10"/>
      <c r="AW114" s="10">
        <f t="shared" si="154"/>
        <v>0</v>
      </c>
      <c r="AX114" s="10"/>
      <c r="AY114" s="10"/>
      <c r="AZ114" s="10"/>
      <c r="BA114" s="10">
        <v>0</v>
      </c>
      <c r="BB114" s="10">
        <v>0</v>
      </c>
      <c r="BC114" s="10">
        <f t="shared" si="135"/>
        <v>0</v>
      </c>
      <c r="BD114" s="10"/>
      <c r="BE114" s="26">
        <f t="shared" si="148"/>
        <v>0</v>
      </c>
      <c r="BF114" s="104">
        <f t="shared" si="148"/>
        <v>0</v>
      </c>
      <c r="BG114" s="104"/>
      <c r="BH114" s="104">
        <f t="shared" si="149"/>
        <v>0</v>
      </c>
      <c r="BI114" s="104"/>
      <c r="BJ114" s="104">
        <f t="shared" si="150"/>
        <v>0</v>
      </c>
      <c r="BK114" s="104"/>
      <c r="BL114" s="104"/>
      <c r="BM114" s="104"/>
      <c r="BN114" s="104" t="s">
        <v>723</v>
      </c>
      <c r="BO114" s="104" t="s">
        <v>1584</v>
      </c>
      <c r="BP114" s="104" t="s">
        <v>726</v>
      </c>
      <c r="BQ114" s="104" t="s">
        <v>1273</v>
      </c>
      <c r="BR114" s="104" t="s">
        <v>724</v>
      </c>
      <c r="BS114" s="104" t="s">
        <v>727</v>
      </c>
      <c r="BT114" s="55" t="s">
        <v>725</v>
      </c>
    </row>
    <row r="115" spans="1:72" ht="45" customHeight="1" outlineLevel="1" x14ac:dyDescent="0.25">
      <c r="A115" s="106"/>
      <c r="B115" s="59">
        <v>3</v>
      </c>
      <c r="C115" s="104" t="s">
        <v>1462</v>
      </c>
      <c r="D115" s="104" t="s">
        <v>284</v>
      </c>
      <c r="E115" s="104" t="s">
        <v>9</v>
      </c>
      <c r="F115" s="104">
        <v>342517</v>
      </c>
      <c r="G115" s="104">
        <v>327247</v>
      </c>
      <c r="H115" s="104">
        <v>322827.74900000001</v>
      </c>
      <c r="I115" s="104">
        <f t="shared" si="173"/>
        <v>4419.2509999999893</v>
      </c>
      <c r="J115" s="104">
        <v>1</v>
      </c>
      <c r="K115" s="104">
        <v>1</v>
      </c>
      <c r="L115" s="104"/>
      <c r="M115" s="104">
        <v>163623</v>
      </c>
      <c r="N115" s="104">
        <f>AC115+AI115</f>
        <v>159204.44444444444</v>
      </c>
      <c r="O115" s="104">
        <v>147261</v>
      </c>
      <c r="P115" s="104">
        <v>1</v>
      </c>
      <c r="Q115" s="26">
        <v>147261</v>
      </c>
      <c r="R115" s="104">
        <v>1</v>
      </c>
      <c r="S115" s="104">
        <f t="shared" si="138"/>
        <v>3977</v>
      </c>
      <c r="T115" s="104"/>
      <c r="U115" s="26">
        <f t="shared" si="174"/>
        <v>143284</v>
      </c>
      <c r="V115" s="113">
        <f t="shared" si="174"/>
        <v>1</v>
      </c>
      <c r="W115" s="113">
        <v>143284</v>
      </c>
      <c r="X115" s="113">
        <f t="shared" si="175"/>
        <v>1</v>
      </c>
      <c r="Y115" s="113"/>
      <c r="Z115" s="113">
        <f t="shared" si="176"/>
        <v>0</v>
      </c>
      <c r="AA115" s="118">
        <v>0</v>
      </c>
      <c r="AB115" s="122"/>
      <c r="AC115" s="26">
        <f t="shared" si="142"/>
        <v>143284</v>
      </c>
      <c r="AD115" s="104">
        <f t="shared" si="142"/>
        <v>1</v>
      </c>
      <c r="AE115" s="104">
        <v>143284</v>
      </c>
      <c r="AF115" s="104">
        <f t="shared" si="177"/>
        <v>1</v>
      </c>
      <c r="AG115" s="104"/>
      <c r="AH115" s="104">
        <f t="shared" si="178"/>
        <v>0</v>
      </c>
      <c r="AI115" s="104">
        <f t="shared" si="179"/>
        <v>15920.444444444445</v>
      </c>
      <c r="AJ115" s="104">
        <v>1</v>
      </c>
      <c r="AK115" s="104"/>
      <c r="AL115" s="104">
        <v>0</v>
      </c>
      <c r="AM115" s="104">
        <v>0</v>
      </c>
      <c r="AN115" s="104">
        <f t="shared" si="145"/>
        <v>0</v>
      </c>
      <c r="AO115" s="104"/>
      <c r="AP115" s="113">
        <f t="shared" si="180"/>
        <v>0</v>
      </c>
      <c r="AQ115" s="113"/>
      <c r="AR115" s="34">
        <f t="shared" si="181"/>
        <v>0</v>
      </c>
      <c r="AS115" s="10">
        <f t="shared" si="146"/>
        <v>0</v>
      </c>
      <c r="AT115" s="10"/>
      <c r="AU115" s="10">
        <f t="shared" si="147"/>
        <v>0</v>
      </c>
      <c r="AV115" s="10"/>
      <c r="AW115" s="10">
        <f t="shared" si="154"/>
        <v>0</v>
      </c>
      <c r="AX115" s="10"/>
      <c r="AY115" s="10"/>
      <c r="AZ115" s="10"/>
      <c r="BA115" s="10">
        <v>0</v>
      </c>
      <c r="BB115" s="10">
        <v>0</v>
      </c>
      <c r="BC115" s="10">
        <f t="shared" si="135"/>
        <v>0</v>
      </c>
      <c r="BD115" s="10"/>
      <c r="BE115" s="26">
        <f t="shared" si="148"/>
        <v>0</v>
      </c>
      <c r="BF115" s="104">
        <f t="shared" si="148"/>
        <v>0</v>
      </c>
      <c r="BG115" s="104"/>
      <c r="BH115" s="104">
        <f t="shared" si="149"/>
        <v>0</v>
      </c>
      <c r="BI115" s="104"/>
      <c r="BJ115" s="104">
        <f t="shared" si="150"/>
        <v>0</v>
      </c>
      <c r="BK115" s="104"/>
      <c r="BL115" s="104"/>
      <c r="BM115" s="104"/>
      <c r="BN115" s="104" t="s">
        <v>747</v>
      </c>
      <c r="BO115" s="104" t="s">
        <v>1585</v>
      </c>
      <c r="BP115" s="104" t="s">
        <v>748</v>
      </c>
      <c r="BQ115" s="104" t="s">
        <v>749</v>
      </c>
      <c r="BR115" s="104" t="s">
        <v>750</v>
      </c>
      <c r="BS115" s="104" t="s">
        <v>751</v>
      </c>
      <c r="BT115" s="55" t="s">
        <v>752</v>
      </c>
    </row>
    <row r="116" spans="1:72" ht="40.5" customHeight="1" outlineLevel="1" x14ac:dyDescent="0.25">
      <c r="A116" s="106"/>
      <c r="B116" s="59">
        <v>4</v>
      </c>
      <c r="C116" s="104" t="s">
        <v>1272</v>
      </c>
      <c r="D116" s="104" t="s">
        <v>794</v>
      </c>
      <c r="E116" s="104" t="s">
        <v>168</v>
      </c>
      <c r="F116" s="104">
        <v>1310534.8770000001</v>
      </c>
      <c r="G116" s="104">
        <v>1278924</v>
      </c>
      <c r="H116" s="104">
        <v>1278924</v>
      </c>
      <c r="I116" s="104">
        <f t="shared" si="173"/>
        <v>0</v>
      </c>
      <c r="J116" s="104">
        <v>1</v>
      </c>
      <c r="K116" s="104"/>
      <c r="L116" s="104"/>
      <c r="M116" s="104">
        <v>115208</v>
      </c>
      <c r="N116" s="104">
        <f>AC116+AI116</f>
        <v>363730</v>
      </c>
      <c r="O116" s="104">
        <v>1047345</v>
      </c>
      <c r="P116" s="104">
        <v>1</v>
      </c>
      <c r="Q116" s="26">
        <v>325986</v>
      </c>
      <c r="R116" s="104">
        <v>1</v>
      </c>
      <c r="S116" s="104">
        <f t="shared" si="138"/>
        <v>-1371</v>
      </c>
      <c r="T116" s="104"/>
      <c r="U116" s="26">
        <f>W116+Y116</f>
        <v>325986</v>
      </c>
      <c r="V116" s="113">
        <f t="shared" si="174"/>
        <v>1</v>
      </c>
      <c r="W116" s="113">
        <v>325986</v>
      </c>
      <c r="X116" s="113">
        <f t="shared" si="175"/>
        <v>1</v>
      </c>
      <c r="Y116" s="113"/>
      <c r="Z116" s="113">
        <f t="shared" si="176"/>
        <v>0</v>
      </c>
      <c r="AA116" s="118"/>
      <c r="AB116" s="122">
        <v>1371</v>
      </c>
      <c r="AC116" s="26">
        <f>AE116+AG116</f>
        <v>327357</v>
      </c>
      <c r="AD116" s="104">
        <f t="shared" si="142"/>
        <v>1</v>
      </c>
      <c r="AE116" s="104">
        <f>325986+1371</f>
        <v>327357</v>
      </c>
      <c r="AF116" s="104">
        <f t="shared" si="177"/>
        <v>1</v>
      </c>
      <c r="AG116" s="104"/>
      <c r="AH116" s="104">
        <f t="shared" si="178"/>
        <v>0</v>
      </c>
      <c r="AI116" s="104">
        <f t="shared" si="179"/>
        <v>36373</v>
      </c>
      <c r="AJ116" s="104"/>
      <c r="AK116" s="104">
        <v>1</v>
      </c>
      <c r="AL116" s="104">
        <v>721358</v>
      </c>
      <c r="AM116" s="104">
        <v>1</v>
      </c>
      <c r="AN116" s="104">
        <f t="shared" si="145"/>
        <v>0</v>
      </c>
      <c r="AO116" s="104"/>
      <c r="AP116" s="113">
        <f t="shared" si="180"/>
        <v>-1371</v>
      </c>
      <c r="AQ116" s="113"/>
      <c r="AR116" s="34">
        <f t="shared" si="181"/>
        <v>721358</v>
      </c>
      <c r="AS116" s="10">
        <f t="shared" si="146"/>
        <v>1</v>
      </c>
      <c r="AT116" s="10">
        <f>821358-100000</f>
        <v>721358</v>
      </c>
      <c r="AU116" s="10">
        <f t="shared" si="147"/>
        <v>1</v>
      </c>
      <c r="AV116" s="10"/>
      <c r="AW116" s="10">
        <f t="shared" si="154"/>
        <v>0</v>
      </c>
      <c r="AX116" s="10">
        <f>AT116/0.9*0.1</f>
        <v>80150.888888888891</v>
      </c>
      <c r="AY116" s="10">
        <v>1</v>
      </c>
      <c r="AZ116" s="10"/>
      <c r="BA116" s="10">
        <v>0</v>
      </c>
      <c r="BB116" s="10">
        <v>0</v>
      </c>
      <c r="BC116" s="10">
        <f t="shared" si="135"/>
        <v>0</v>
      </c>
      <c r="BD116" s="10"/>
      <c r="BE116" s="26">
        <f t="shared" si="148"/>
        <v>0</v>
      </c>
      <c r="BF116" s="104">
        <f t="shared" si="148"/>
        <v>0</v>
      </c>
      <c r="BG116" s="104"/>
      <c r="BH116" s="104">
        <f t="shared" si="149"/>
        <v>0</v>
      </c>
      <c r="BI116" s="104"/>
      <c r="BJ116" s="104">
        <f t="shared" si="150"/>
        <v>0</v>
      </c>
      <c r="BK116" s="104"/>
      <c r="BL116" s="104"/>
      <c r="BM116" s="104"/>
      <c r="BN116" s="104" t="s">
        <v>795</v>
      </c>
      <c r="BO116" s="104" t="s">
        <v>1586</v>
      </c>
      <c r="BP116" s="104" t="s">
        <v>796</v>
      </c>
      <c r="BQ116" s="104" t="s">
        <v>797</v>
      </c>
      <c r="BR116" s="104" t="s">
        <v>798</v>
      </c>
      <c r="BS116" s="104" t="s">
        <v>799</v>
      </c>
      <c r="BT116" s="55" t="s">
        <v>800</v>
      </c>
    </row>
    <row r="117" spans="1:72" ht="40.5" customHeight="1" outlineLevel="1" x14ac:dyDescent="0.25">
      <c r="A117" s="106"/>
      <c r="B117" s="59"/>
      <c r="C117" s="112" t="s">
        <v>1964</v>
      </c>
      <c r="D117" s="104" t="s">
        <v>2068</v>
      </c>
      <c r="E117" s="104" t="s">
        <v>196</v>
      </c>
      <c r="F117" s="104">
        <v>683510</v>
      </c>
      <c r="G117" s="104">
        <v>661300</v>
      </c>
      <c r="H117" s="104"/>
      <c r="I117" s="104"/>
      <c r="J117" s="104"/>
      <c r="K117" s="104"/>
      <c r="L117" s="104"/>
      <c r="M117" s="104">
        <v>627900</v>
      </c>
      <c r="N117" s="104">
        <f>AC117+AI117</f>
        <v>12058.888888888889</v>
      </c>
      <c r="O117" s="104"/>
      <c r="P117" s="104"/>
      <c r="Q117" s="26"/>
      <c r="R117" s="104"/>
      <c r="S117" s="104"/>
      <c r="T117" s="104"/>
      <c r="U117" s="26"/>
      <c r="V117" s="113"/>
      <c r="W117" s="113"/>
      <c r="X117" s="113"/>
      <c r="Y117" s="113"/>
      <c r="Z117" s="113"/>
      <c r="AA117" s="118"/>
      <c r="AB117" s="122">
        <v>10853</v>
      </c>
      <c r="AC117" s="26">
        <f t="shared" ref="AC117:AC119" si="182">AE117+AG117</f>
        <v>10853</v>
      </c>
      <c r="AD117" s="104">
        <f t="shared" si="142"/>
        <v>1</v>
      </c>
      <c r="AE117" s="104">
        <v>10853</v>
      </c>
      <c r="AF117" s="104">
        <f t="shared" si="177"/>
        <v>1</v>
      </c>
      <c r="AG117" s="104"/>
      <c r="AH117" s="104"/>
      <c r="AI117" s="104">
        <f t="shared" si="179"/>
        <v>1205.8888888888889</v>
      </c>
      <c r="AJ117" s="104"/>
      <c r="AK117" s="104"/>
      <c r="AL117" s="104"/>
      <c r="AM117" s="104"/>
      <c r="AN117" s="104"/>
      <c r="AO117" s="104"/>
      <c r="AP117" s="113">
        <f t="shared" si="180"/>
        <v>-10853</v>
      </c>
      <c r="AQ117" s="113"/>
      <c r="AR117" s="34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26"/>
      <c r="BF117" s="104"/>
      <c r="BG117" s="104"/>
      <c r="BH117" s="104"/>
      <c r="BI117" s="104"/>
      <c r="BJ117" s="104"/>
      <c r="BK117" s="104"/>
      <c r="BL117" s="104"/>
      <c r="BM117" s="104"/>
      <c r="BN117" s="104" t="s">
        <v>1965</v>
      </c>
      <c r="BO117" s="104" t="s">
        <v>1966</v>
      </c>
      <c r="BP117" s="104" t="s">
        <v>1967</v>
      </c>
      <c r="BQ117" s="104" t="s">
        <v>1968</v>
      </c>
      <c r="BR117" s="104" t="s">
        <v>1969</v>
      </c>
      <c r="BS117" s="104" t="s">
        <v>1970</v>
      </c>
      <c r="BT117" s="55"/>
    </row>
    <row r="118" spans="1:72" ht="40.5" customHeight="1" outlineLevel="1" x14ac:dyDescent="0.25">
      <c r="A118" s="106"/>
      <c r="B118" s="59"/>
      <c r="C118" s="112" t="s">
        <v>1971</v>
      </c>
      <c r="D118" s="104" t="s">
        <v>2069</v>
      </c>
      <c r="E118" s="104" t="s">
        <v>9</v>
      </c>
      <c r="F118" s="104">
        <v>235379</v>
      </c>
      <c r="G118" s="104">
        <v>231301</v>
      </c>
      <c r="H118" s="104"/>
      <c r="I118" s="104"/>
      <c r="J118" s="104"/>
      <c r="K118" s="104"/>
      <c r="L118" s="104"/>
      <c r="M118" s="104">
        <v>134121</v>
      </c>
      <c r="N118" s="104">
        <f t="shared" ref="N118:N131" si="183">AC118+AI118</f>
        <v>96758.888888888891</v>
      </c>
      <c r="O118" s="104"/>
      <c r="P118" s="104"/>
      <c r="Q118" s="26"/>
      <c r="R118" s="104"/>
      <c r="S118" s="104"/>
      <c r="T118" s="104"/>
      <c r="U118" s="26"/>
      <c r="V118" s="113"/>
      <c r="W118" s="113"/>
      <c r="X118" s="113"/>
      <c r="Y118" s="113"/>
      <c r="Z118" s="113"/>
      <c r="AA118" s="118"/>
      <c r="AB118" s="122">
        <v>87083</v>
      </c>
      <c r="AC118" s="26">
        <f t="shared" si="182"/>
        <v>87083</v>
      </c>
      <c r="AD118" s="104">
        <f t="shared" si="142"/>
        <v>1</v>
      </c>
      <c r="AE118" s="45">
        <v>87083</v>
      </c>
      <c r="AF118" s="104">
        <f t="shared" si="177"/>
        <v>1</v>
      </c>
      <c r="AG118" s="104"/>
      <c r="AH118" s="104"/>
      <c r="AI118" s="104">
        <f t="shared" si="179"/>
        <v>9675.8888888888887</v>
      </c>
      <c r="AJ118" s="104"/>
      <c r="AK118" s="104"/>
      <c r="AL118" s="104"/>
      <c r="AM118" s="104"/>
      <c r="AN118" s="104"/>
      <c r="AO118" s="104"/>
      <c r="AP118" s="113">
        <f t="shared" si="180"/>
        <v>-87083</v>
      </c>
      <c r="AQ118" s="113"/>
      <c r="AR118" s="34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26"/>
      <c r="BF118" s="104"/>
      <c r="BG118" s="104"/>
      <c r="BH118" s="104"/>
      <c r="BI118" s="104"/>
      <c r="BJ118" s="104"/>
      <c r="BK118" s="104"/>
      <c r="BL118" s="104"/>
      <c r="BM118" s="104"/>
      <c r="BN118" s="104" t="s">
        <v>1973</v>
      </c>
      <c r="BO118" s="104" t="s">
        <v>1974</v>
      </c>
      <c r="BP118" s="104" t="s">
        <v>1975</v>
      </c>
      <c r="BQ118" s="104" t="s">
        <v>1976</v>
      </c>
      <c r="BR118" s="104" t="s">
        <v>1977</v>
      </c>
      <c r="BS118" s="104" t="s">
        <v>1978</v>
      </c>
      <c r="BT118" s="55"/>
    </row>
    <row r="119" spans="1:72" ht="40.5" customHeight="1" outlineLevel="1" x14ac:dyDescent="0.25">
      <c r="A119" s="106"/>
      <c r="B119" s="59"/>
      <c r="C119" s="112" t="s">
        <v>1972</v>
      </c>
      <c r="D119" s="104" t="s">
        <v>2070</v>
      </c>
      <c r="E119" s="104" t="s">
        <v>9</v>
      </c>
      <c r="F119" s="104">
        <v>250351</v>
      </c>
      <c r="G119" s="104">
        <v>246506</v>
      </c>
      <c r="H119" s="104"/>
      <c r="I119" s="104"/>
      <c r="J119" s="104"/>
      <c r="K119" s="104"/>
      <c r="L119" s="104"/>
      <c r="M119" s="104">
        <v>229499</v>
      </c>
      <c r="N119" s="104">
        <f t="shared" si="183"/>
        <v>16948.888888888891</v>
      </c>
      <c r="O119" s="104"/>
      <c r="P119" s="104"/>
      <c r="Q119" s="26"/>
      <c r="R119" s="104"/>
      <c r="S119" s="104"/>
      <c r="T119" s="104"/>
      <c r="U119" s="26"/>
      <c r="V119" s="113"/>
      <c r="W119" s="113"/>
      <c r="X119" s="113"/>
      <c r="Y119" s="113"/>
      <c r="Z119" s="113"/>
      <c r="AA119" s="118"/>
      <c r="AB119" s="122">
        <v>15254</v>
      </c>
      <c r="AC119" s="26">
        <f t="shared" si="182"/>
        <v>15254</v>
      </c>
      <c r="AD119" s="104">
        <f t="shared" si="142"/>
        <v>1</v>
      </c>
      <c r="AE119" s="45">
        <v>15254</v>
      </c>
      <c r="AF119" s="104">
        <f t="shared" si="177"/>
        <v>1</v>
      </c>
      <c r="AG119" s="104"/>
      <c r="AH119" s="104"/>
      <c r="AI119" s="104">
        <f t="shared" si="179"/>
        <v>1694.8888888888887</v>
      </c>
      <c r="AJ119" s="104"/>
      <c r="AK119" s="104"/>
      <c r="AL119" s="104"/>
      <c r="AM119" s="104"/>
      <c r="AN119" s="104"/>
      <c r="AO119" s="104"/>
      <c r="AP119" s="113">
        <f t="shared" si="180"/>
        <v>-15254</v>
      </c>
      <c r="AQ119" s="113"/>
      <c r="AR119" s="34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26"/>
      <c r="BF119" s="104"/>
      <c r="BG119" s="104"/>
      <c r="BH119" s="104"/>
      <c r="BI119" s="104"/>
      <c r="BJ119" s="104"/>
      <c r="BK119" s="104"/>
      <c r="BL119" s="104"/>
      <c r="BM119" s="104"/>
      <c r="BN119" s="104" t="s">
        <v>1979</v>
      </c>
      <c r="BO119" s="104" t="s">
        <v>1974</v>
      </c>
      <c r="BP119" s="104" t="s">
        <v>1980</v>
      </c>
      <c r="BQ119" s="104" t="s">
        <v>1981</v>
      </c>
      <c r="BR119" s="104" t="s">
        <v>1982</v>
      </c>
      <c r="BS119" s="104" t="s">
        <v>1983</v>
      </c>
      <c r="BT119" s="55"/>
    </row>
    <row r="120" spans="1:72" ht="42" customHeight="1" outlineLevel="1" x14ac:dyDescent="0.25">
      <c r="A120" s="106"/>
      <c r="B120" s="59">
        <v>5</v>
      </c>
      <c r="C120" s="104" t="s">
        <v>1463</v>
      </c>
      <c r="D120" s="104" t="s">
        <v>728</v>
      </c>
      <c r="E120" s="104">
        <v>2016</v>
      </c>
      <c r="F120" s="104">
        <v>81746</v>
      </c>
      <c r="G120" s="104">
        <v>78727</v>
      </c>
      <c r="H120" s="104"/>
      <c r="I120" s="104"/>
      <c r="J120" s="104"/>
      <c r="K120" s="104"/>
      <c r="L120" s="104"/>
      <c r="M120" s="104">
        <v>0</v>
      </c>
      <c r="N120" s="104">
        <f t="shared" si="183"/>
        <v>0</v>
      </c>
      <c r="O120" s="104">
        <v>70854</v>
      </c>
      <c r="P120" s="104">
        <v>1</v>
      </c>
      <c r="Q120" s="26">
        <v>0</v>
      </c>
      <c r="R120" s="104">
        <v>0</v>
      </c>
      <c r="S120" s="104">
        <f t="shared" si="138"/>
        <v>0</v>
      </c>
      <c r="T120" s="104"/>
      <c r="U120" s="26">
        <f t="shared" ref="U120:V131" si="184">W120+Y120</f>
        <v>0</v>
      </c>
      <c r="V120" s="113">
        <f t="shared" si="184"/>
        <v>0</v>
      </c>
      <c r="W120" s="113"/>
      <c r="X120" s="113">
        <f t="shared" ref="X120:X131" si="185">IF(W120,1,0)</f>
        <v>0</v>
      </c>
      <c r="Y120" s="113"/>
      <c r="Z120" s="113"/>
      <c r="AA120" s="118">
        <v>0</v>
      </c>
      <c r="AB120" s="122"/>
      <c r="AC120" s="26">
        <f t="shared" si="142"/>
        <v>0</v>
      </c>
      <c r="AD120" s="104">
        <f t="shared" si="142"/>
        <v>0</v>
      </c>
      <c r="AE120" s="104"/>
      <c r="AF120" s="104">
        <f t="shared" si="177"/>
        <v>0</v>
      </c>
      <c r="AG120" s="104"/>
      <c r="AH120" s="104"/>
      <c r="AI120" s="104">
        <f t="shared" si="179"/>
        <v>0</v>
      </c>
      <c r="AJ120" s="104"/>
      <c r="AK120" s="104"/>
      <c r="AL120" s="104">
        <v>0</v>
      </c>
      <c r="AM120" s="104">
        <v>0</v>
      </c>
      <c r="AN120" s="104">
        <f t="shared" si="145"/>
        <v>-70854</v>
      </c>
      <c r="AO120" s="104"/>
      <c r="AP120" s="113">
        <f t="shared" si="180"/>
        <v>0</v>
      </c>
      <c r="AQ120" s="113"/>
      <c r="AR120" s="34">
        <f t="shared" si="181"/>
        <v>70854</v>
      </c>
      <c r="AS120" s="10">
        <f t="shared" si="146"/>
        <v>1</v>
      </c>
      <c r="AT120" s="10"/>
      <c r="AU120" s="10">
        <f t="shared" si="147"/>
        <v>0</v>
      </c>
      <c r="AV120" s="10">
        <v>70854</v>
      </c>
      <c r="AW120" s="10">
        <f t="shared" si="154"/>
        <v>1</v>
      </c>
      <c r="AX120" s="10"/>
      <c r="AY120" s="10">
        <v>1</v>
      </c>
      <c r="AZ120" s="10"/>
      <c r="BA120" s="10">
        <v>0</v>
      </c>
      <c r="BB120" s="10">
        <v>0</v>
      </c>
      <c r="BC120" s="10">
        <f t="shared" si="135"/>
        <v>0</v>
      </c>
      <c r="BD120" s="10"/>
      <c r="BE120" s="26">
        <f t="shared" si="148"/>
        <v>0</v>
      </c>
      <c r="BF120" s="104">
        <f t="shared" si="148"/>
        <v>0</v>
      </c>
      <c r="BG120" s="104"/>
      <c r="BH120" s="104">
        <f t="shared" si="149"/>
        <v>0</v>
      </c>
      <c r="BI120" s="104"/>
      <c r="BJ120" s="104">
        <f t="shared" si="150"/>
        <v>0</v>
      </c>
      <c r="BK120" s="104"/>
      <c r="BL120" s="104"/>
      <c r="BM120" s="104"/>
      <c r="BN120" s="104" t="s">
        <v>729</v>
      </c>
      <c r="BO120" s="104" t="s">
        <v>1587</v>
      </c>
      <c r="BP120" s="104" t="s">
        <v>730</v>
      </c>
      <c r="BQ120" s="104" t="s">
        <v>731</v>
      </c>
      <c r="BR120" s="104" t="s">
        <v>732</v>
      </c>
      <c r="BS120" s="104" t="s">
        <v>733</v>
      </c>
      <c r="BT120" s="55" t="s">
        <v>11</v>
      </c>
    </row>
    <row r="121" spans="1:72" ht="39.75" customHeight="1" outlineLevel="1" x14ac:dyDescent="0.25">
      <c r="A121" s="106"/>
      <c r="B121" s="59">
        <v>6</v>
      </c>
      <c r="C121" s="104" t="s">
        <v>1464</v>
      </c>
      <c r="D121" s="104" t="s">
        <v>734</v>
      </c>
      <c r="E121" s="104">
        <v>2016</v>
      </c>
      <c r="F121" s="104">
        <v>302510</v>
      </c>
      <c r="G121" s="104">
        <v>293409</v>
      </c>
      <c r="H121" s="104"/>
      <c r="I121" s="104"/>
      <c r="J121" s="104"/>
      <c r="K121" s="104"/>
      <c r="L121" s="104"/>
      <c r="M121" s="104">
        <v>0</v>
      </c>
      <c r="N121" s="104">
        <f t="shared" si="183"/>
        <v>0</v>
      </c>
      <c r="O121" s="104">
        <v>264068</v>
      </c>
      <c r="P121" s="104">
        <v>1</v>
      </c>
      <c r="Q121" s="26">
        <v>0</v>
      </c>
      <c r="R121" s="104">
        <v>0</v>
      </c>
      <c r="S121" s="104">
        <f t="shared" si="138"/>
        <v>0</v>
      </c>
      <c r="T121" s="104"/>
      <c r="U121" s="26">
        <f>Y121</f>
        <v>0</v>
      </c>
      <c r="V121" s="113">
        <f t="shared" si="184"/>
        <v>0</v>
      </c>
      <c r="W121" s="113"/>
      <c r="X121" s="113">
        <f t="shared" si="185"/>
        <v>0</v>
      </c>
      <c r="Y121" s="113"/>
      <c r="Z121" s="113">
        <f t="shared" ref="Z121:Z131" si="186">IF(Y121,1,0)</f>
        <v>0</v>
      </c>
      <c r="AA121" s="118">
        <v>0</v>
      </c>
      <c r="AB121" s="122"/>
      <c r="AC121" s="26">
        <f>AG121</f>
        <v>0</v>
      </c>
      <c r="AD121" s="104">
        <f t="shared" si="142"/>
        <v>0</v>
      </c>
      <c r="AE121" s="104"/>
      <c r="AF121" s="104">
        <f t="shared" si="177"/>
        <v>0</v>
      </c>
      <c r="AG121" s="104"/>
      <c r="AH121" s="104">
        <f t="shared" si="178"/>
        <v>0</v>
      </c>
      <c r="AI121" s="104">
        <f t="shared" si="179"/>
        <v>0</v>
      </c>
      <c r="AJ121" s="104"/>
      <c r="AK121" s="104"/>
      <c r="AL121" s="104">
        <v>264068</v>
      </c>
      <c r="AM121" s="104">
        <v>1</v>
      </c>
      <c r="AN121" s="104">
        <f t="shared" si="145"/>
        <v>0</v>
      </c>
      <c r="AO121" s="104"/>
      <c r="AP121" s="113">
        <f t="shared" si="180"/>
        <v>0</v>
      </c>
      <c r="AQ121" s="113"/>
      <c r="AR121" s="34">
        <f t="shared" si="181"/>
        <v>264068</v>
      </c>
      <c r="AS121" s="10">
        <f t="shared" si="146"/>
        <v>1</v>
      </c>
      <c r="AT121" s="10"/>
      <c r="AU121" s="10">
        <f t="shared" si="147"/>
        <v>0</v>
      </c>
      <c r="AV121" s="10">
        <v>264068</v>
      </c>
      <c r="AW121" s="10">
        <f t="shared" si="154"/>
        <v>1</v>
      </c>
      <c r="AX121" s="10">
        <f>AR121/0.9*0.1</f>
        <v>29340.888888888891</v>
      </c>
      <c r="AY121" s="10">
        <v>1</v>
      </c>
      <c r="AZ121" s="10"/>
      <c r="BA121" s="10">
        <v>0</v>
      </c>
      <c r="BB121" s="10">
        <v>0</v>
      </c>
      <c r="BC121" s="10">
        <f t="shared" si="135"/>
        <v>0</v>
      </c>
      <c r="BD121" s="10"/>
      <c r="BE121" s="26">
        <f t="shared" si="148"/>
        <v>0</v>
      </c>
      <c r="BF121" s="104">
        <f t="shared" si="148"/>
        <v>0</v>
      </c>
      <c r="BG121" s="104"/>
      <c r="BH121" s="104">
        <f t="shared" si="149"/>
        <v>0</v>
      </c>
      <c r="BI121" s="104"/>
      <c r="BJ121" s="104">
        <f t="shared" si="150"/>
        <v>0</v>
      </c>
      <c r="BK121" s="104"/>
      <c r="BL121" s="104"/>
      <c r="BM121" s="104"/>
      <c r="BN121" s="104" t="s">
        <v>735</v>
      </c>
      <c r="BO121" s="104" t="s">
        <v>1587</v>
      </c>
      <c r="BP121" s="104" t="s">
        <v>736</v>
      </c>
      <c r="BQ121" s="104" t="s">
        <v>737</v>
      </c>
      <c r="BR121" s="104" t="s">
        <v>738</v>
      </c>
      <c r="BS121" s="104" t="s">
        <v>739</v>
      </c>
      <c r="BT121" s="55" t="s">
        <v>740</v>
      </c>
    </row>
    <row r="122" spans="1:72" ht="54" customHeight="1" outlineLevel="1" x14ac:dyDescent="0.25">
      <c r="A122" s="106"/>
      <c r="B122" s="59">
        <v>7</v>
      </c>
      <c r="C122" s="104" t="s">
        <v>1465</v>
      </c>
      <c r="D122" s="104" t="s">
        <v>742</v>
      </c>
      <c r="E122" s="104" t="s">
        <v>10</v>
      </c>
      <c r="F122" s="104">
        <v>1351414</v>
      </c>
      <c r="G122" s="104">
        <v>1337978</v>
      </c>
      <c r="H122" s="104"/>
      <c r="I122" s="104"/>
      <c r="J122" s="104"/>
      <c r="K122" s="104"/>
      <c r="L122" s="104"/>
      <c r="M122" s="104">
        <v>0</v>
      </c>
      <c r="N122" s="104">
        <f t="shared" si="183"/>
        <v>0</v>
      </c>
      <c r="O122" s="104">
        <v>602090</v>
      </c>
      <c r="P122" s="104">
        <v>1</v>
      </c>
      <c r="Q122" s="26">
        <v>250000</v>
      </c>
      <c r="R122" s="104">
        <v>1</v>
      </c>
      <c r="S122" s="104">
        <f t="shared" si="138"/>
        <v>250000</v>
      </c>
      <c r="T122" s="104"/>
      <c r="U122" s="26">
        <f t="shared" si="184"/>
        <v>250000</v>
      </c>
      <c r="V122" s="113">
        <f t="shared" si="184"/>
        <v>1</v>
      </c>
      <c r="W122" s="113"/>
      <c r="X122" s="113">
        <f t="shared" si="185"/>
        <v>0</v>
      </c>
      <c r="Y122" s="113">
        <v>250000</v>
      </c>
      <c r="Z122" s="113">
        <f t="shared" si="186"/>
        <v>1</v>
      </c>
      <c r="AA122" s="118">
        <v>-250000</v>
      </c>
      <c r="AB122" s="122"/>
      <c r="AC122" s="26">
        <f t="shared" si="142"/>
        <v>0</v>
      </c>
      <c r="AD122" s="104">
        <f t="shared" si="142"/>
        <v>0</v>
      </c>
      <c r="AE122" s="104"/>
      <c r="AF122" s="104">
        <f t="shared" si="177"/>
        <v>0</v>
      </c>
      <c r="AG122" s="104"/>
      <c r="AH122" s="104">
        <f t="shared" si="178"/>
        <v>0</v>
      </c>
      <c r="AI122" s="104">
        <f t="shared" si="179"/>
        <v>0</v>
      </c>
      <c r="AJ122" s="104"/>
      <c r="AK122" s="104">
        <v>1</v>
      </c>
      <c r="AL122" s="104">
        <v>954180</v>
      </c>
      <c r="AM122" s="104">
        <v>1</v>
      </c>
      <c r="AN122" s="104">
        <f t="shared" si="145"/>
        <v>-250000</v>
      </c>
      <c r="AO122" s="104"/>
      <c r="AP122" s="113">
        <f t="shared" si="180"/>
        <v>250000</v>
      </c>
      <c r="AQ122" s="113"/>
      <c r="AR122" s="34">
        <f t="shared" si="181"/>
        <v>1204180</v>
      </c>
      <c r="AS122" s="10">
        <f t="shared" si="146"/>
        <v>1</v>
      </c>
      <c r="AT122" s="10"/>
      <c r="AU122" s="10">
        <f t="shared" si="147"/>
        <v>0</v>
      </c>
      <c r="AV122" s="10">
        <f>954180+250000</f>
        <v>1204180</v>
      </c>
      <c r="AW122" s="10">
        <f t="shared" si="154"/>
        <v>1</v>
      </c>
      <c r="AX122" s="10">
        <f>AR122/0.9*0.1</f>
        <v>133797.77777777778</v>
      </c>
      <c r="AY122" s="10">
        <v>1</v>
      </c>
      <c r="AZ122" s="10"/>
      <c r="BA122" s="10">
        <v>0</v>
      </c>
      <c r="BB122" s="10">
        <v>0</v>
      </c>
      <c r="BC122" s="10">
        <f t="shared" si="135"/>
        <v>0</v>
      </c>
      <c r="BD122" s="10"/>
      <c r="BE122" s="26">
        <f t="shared" si="148"/>
        <v>0</v>
      </c>
      <c r="BF122" s="104">
        <f t="shared" si="148"/>
        <v>0</v>
      </c>
      <c r="BG122" s="104"/>
      <c r="BH122" s="104">
        <f t="shared" si="149"/>
        <v>0</v>
      </c>
      <c r="BI122" s="104"/>
      <c r="BJ122" s="104">
        <f t="shared" si="150"/>
        <v>0</v>
      </c>
      <c r="BK122" s="104"/>
      <c r="BL122" s="104"/>
      <c r="BM122" s="104"/>
      <c r="BN122" s="104" t="s">
        <v>741</v>
      </c>
      <c r="BO122" s="104" t="s">
        <v>1588</v>
      </c>
      <c r="BP122" s="104" t="s">
        <v>746</v>
      </c>
      <c r="BQ122" s="104" t="s">
        <v>743</v>
      </c>
      <c r="BR122" s="104" t="s">
        <v>1274</v>
      </c>
      <c r="BS122" s="104" t="s">
        <v>744</v>
      </c>
      <c r="BT122" s="55" t="s">
        <v>745</v>
      </c>
    </row>
    <row r="123" spans="1:72" ht="42" customHeight="1" outlineLevel="1" x14ac:dyDescent="0.25">
      <c r="A123" s="106"/>
      <c r="B123" s="59">
        <v>8</v>
      </c>
      <c r="C123" s="104" t="s">
        <v>1466</v>
      </c>
      <c r="D123" s="104" t="s">
        <v>753</v>
      </c>
      <c r="E123" s="104">
        <v>2015</v>
      </c>
      <c r="F123" s="104">
        <v>327835.19900000002</v>
      </c>
      <c r="G123" s="104">
        <v>322457</v>
      </c>
      <c r="H123" s="104"/>
      <c r="I123" s="104"/>
      <c r="J123" s="104"/>
      <c r="K123" s="104"/>
      <c r="L123" s="104"/>
      <c r="M123" s="104">
        <v>0</v>
      </c>
      <c r="N123" s="104">
        <f t="shared" si="183"/>
        <v>0</v>
      </c>
      <c r="O123" s="104">
        <v>290211</v>
      </c>
      <c r="P123" s="104">
        <v>1</v>
      </c>
      <c r="Q123" s="26">
        <v>290211</v>
      </c>
      <c r="R123" s="104">
        <v>1</v>
      </c>
      <c r="S123" s="104">
        <f t="shared" si="138"/>
        <v>290211</v>
      </c>
      <c r="T123" s="104"/>
      <c r="U123" s="26">
        <f t="shared" si="184"/>
        <v>290211</v>
      </c>
      <c r="V123" s="113">
        <f t="shared" si="184"/>
        <v>1</v>
      </c>
      <c r="W123" s="113"/>
      <c r="X123" s="113">
        <f t="shared" si="185"/>
        <v>0</v>
      </c>
      <c r="Y123" s="113">
        <v>290211</v>
      </c>
      <c r="Z123" s="113">
        <f t="shared" si="186"/>
        <v>1</v>
      </c>
      <c r="AA123" s="118">
        <v>-290211</v>
      </c>
      <c r="AB123" s="122"/>
      <c r="AC123" s="26">
        <f t="shared" si="142"/>
        <v>0</v>
      </c>
      <c r="AD123" s="104">
        <f t="shared" si="142"/>
        <v>0</v>
      </c>
      <c r="AE123" s="104"/>
      <c r="AF123" s="104">
        <f t="shared" si="177"/>
        <v>0</v>
      </c>
      <c r="AG123" s="104"/>
      <c r="AH123" s="104">
        <f t="shared" si="178"/>
        <v>0</v>
      </c>
      <c r="AI123" s="104">
        <f t="shared" si="179"/>
        <v>0</v>
      </c>
      <c r="AJ123" s="104">
        <v>1</v>
      </c>
      <c r="AK123" s="104"/>
      <c r="AL123" s="104">
        <v>0</v>
      </c>
      <c r="AM123" s="104">
        <v>0</v>
      </c>
      <c r="AN123" s="104">
        <f t="shared" si="145"/>
        <v>-290211</v>
      </c>
      <c r="AO123" s="104"/>
      <c r="AP123" s="113">
        <f t="shared" si="180"/>
        <v>290211</v>
      </c>
      <c r="AQ123" s="113"/>
      <c r="AR123" s="34">
        <f t="shared" si="181"/>
        <v>290211</v>
      </c>
      <c r="AS123" s="10">
        <f t="shared" si="146"/>
        <v>1</v>
      </c>
      <c r="AT123" s="10"/>
      <c r="AU123" s="10">
        <f t="shared" si="147"/>
        <v>0</v>
      </c>
      <c r="AV123" s="10">
        <f>290211</f>
        <v>290211</v>
      </c>
      <c r="AW123" s="10">
        <f t="shared" si="154"/>
        <v>1</v>
      </c>
      <c r="AX123" s="10">
        <f>AR123/0.9*0.1</f>
        <v>32245.666666666672</v>
      </c>
      <c r="AY123" s="10"/>
      <c r="AZ123" s="10"/>
      <c r="BA123" s="10">
        <v>0</v>
      </c>
      <c r="BB123" s="10">
        <v>0</v>
      </c>
      <c r="BC123" s="10">
        <f t="shared" si="135"/>
        <v>0</v>
      </c>
      <c r="BD123" s="10"/>
      <c r="BE123" s="26">
        <f t="shared" si="148"/>
        <v>0</v>
      </c>
      <c r="BF123" s="104">
        <f t="shared" si="148"/>
        <v>0</v>
      </c>
      <c r="BG123" s="104"/>
      <c r="BH123" s="104">
        <f t="shared" si="149"/>
        <v>0</v>
      </c>
      <c r="BI123" s="104"/>
      <c r="BJ123" s="104">
        <f t="shared" si="150"/>
        <v>0</v>
      </c>
      <c r="BK123" s="104"/>
      <c r="BL123" s="104"/>
      <c r="BM123" s="104"/>
      <c r="BN123" s="104" t="s">
        <v>754</v>
      </c>
      <c r="BO123" s="104" t="s">
        <v>1589</v>
      </c>
      <c r="BP123" s="104" t="s">
        <v>755</v>
      </c>
      <c r="BQ123" s="104" t="s">
        <v>756</v>
      </c>
      <c r="BR123" s="104" t="s">
        <v>757</v>
      </c>
      <c r="BS123" s="104" t="s">
        <v>758</v>
      </c>
      <c r="BT123" s="55" t="s">
        <v>759</v>
      </c>
    </row>
    <row r="124" spans="1:72" ht="69.75" customHeight="1" outlineLevel="1" x14ac:dyDescent="0.25">
      <c r="A124" s="106"/>
      <c r="B124" s="59">
        <v>9</v>
      </c>
      <c r="C124" s="67" t="s">
        <v>760</v>
      </c>
      <c r="D124" s="104" t="s">
        <v>761</v>
      </c>
      <c r="E124" s="104">
        <v>2015</v>
      </c>
      <c r="F124" s="104">
        <v>254960</v>
      </c>
      <c r="G124" s="104">
        <v>251763</v>
      </c>
      <c r="H124" s="104"/>
      <c r="I124" s="104"/>
      <c r="J124" s="104"/>
      <c r="K124" s="104"/>
      <c r="L124" s="104"/>
      <c r="M124" s="104">
        <v>0</v>
      </c>
      <c r="N124" s="104">
        <f t="shared" si="183"/>
        <v>0</v>
      </c>
      <c r="O124" s="104">
        <v>226587</v>
      </c>
      <c r="P124" s="104">
        <v>1</v>
      </c>
      <c r="Q124" s="26">
        <v>226587</v>
      </c>
      <c r="R124" s="104">
        <v>1</v>
      </c>
      <c r="S124" s="104">
        <f t="shared" si="138"/>
        <v>226587</v>
      </c>
      <c r="T124" s="104"/>
      <c r="U124" s="26">
        <f t="shared" si="184"/>
        <v>226587</v>
      </c>
      <c r="V124" s="113">
        <f t="shared" si="184"/>
        <v>1</v>
      </c>
      <c r="W124" s="113"/>
      <c r="X124" s="113">
        <f t="shared" si="185"/>
        <v>0</v>
      </c>
      <c r="Y124" s="113">
        <v>226587</v>
      </c>
      <c r="Z124" s="113">
        <f t="shared" si="186"/>
        <v>1</v>
      </c>
      <c r="AA124" s="118">
        <v>-226587</v>
      </c>
      <c r="AB124" s="122"/>
      <c r="AC124" s="26">
        <f t="shared" si="142"/>
        <v>0</v>
      </c>
      <c r="AD124" s="104">
        <f t="shared" si="142"/>
        <v>0</v>
      </c>
      <c r="AE124" s="104"/>
      <c r="AF124" s="104">
        <f t="shared" si="177"/>
        <v>0</v>
      </c>
      <c r="AG124" s="104"/>
      <c r="AH124" s="104">
        <f t="shared" si="178"/>
        <v>0</v>
      </c>
      <c r="AI124" s="104">
        <f t="shared" si="179"/>
        <v>0</v>
      </c>
      <c r="AJ124" s="104">
        <v>1</v>
      </c>
      <c r="AK124" s="104"/>
      <c r="AL124" s="104">
        <v>0</v>
      </c>
      <c r="AM124" s="104">
        <v>0</v>
      </c>
      <c r="AN124" s="104">
        <f t="shared" si="145"/>
        <v>-226587</v>
      </c>
      <c r="AO124" s="104"/>
      <c r="AP124" s="113">
        <f t="shared" si="180"/>
        <v>226587</v>
      </c>
      <c r="AQ124" s="113"/>
      <c r="AR124" s="34">
        <f t="shared" si="181"/>
        <v>226587</v>
      </c>
      <c r="AS124" s="10">
        <f t="shared" si="146"/>
        <v>1</v>
      </c>
      <c r="AT124" s="10"/>
      <c r="AU124" s="10">
        <f t="shared" si="147"/>
        <v>0</v>
      </c>
      <c r="AV124" s="10">
        <f>146587+80000</f>
        <v>226587</v>
      </c>
      <c r="AW124" s="10">
        <f t="shared" si="154"/>
        <v>1</v>
      </c>
      <c r="AX124" s="10">
        <f>AR124/0.9*0.1</f>
        <v>25176.333333333332</v>
      </c>
      <c r="AY124" s="10"/>
      <c r="AZ124" s="10"/>
      <c r="BA124" s="10">
        <v>0</v>
      </c>
      <c r="BB124" s="10">
        <v>0</v>
      </c>
      <c r="BC124" s="10">
        <f t="shared" si="135"/>
        <v>0</v>
      </c>
      <c r="BD124" s="10"/>
      <c r="BE124" s="26">
        <f t="shared" si="148"/>
        <v>0</v>
      </c>
      <c r="BF124" s="104">
        <f t="shared" si="148"/>
        <v>0</v>
      </c>
      <c r="BG124" s="104"/>
      <c r="BH124" s="104">
        <f t="shared" si="149"/>
        <v>0</v>
      </c>
      <c r="BI124" s="104"/>
      <c r="BJ124" s="104">
        <f t="shared" si="150"/>
        <v>0</v>
      </c>
      <c r="BK124" s="104"/>
      <c r="BL124" s="104"/>
      <c r="BM124" s="104"/>
      <c r="BN124" s="104" t="s">
        <v>762</v>
      </c>
      <c r="BO124" s="104" t="s">
        <v>1590</v>
      </c>
      <c r="BP124" s="104" t="s">
        <v>763</v>
      </c>
      <c r="BQ124" s="104" t="s">
        <v>764</v>
      </c>
      <c r="BR124" s="104" t="s">
        <v>765</v>
      </c>
      <c r="BS124" s="104" t="s">
        <v>766</v>
      </c>
      <c r="BT124" s="55" t="s">
        <v>767</v>
      </c>
    </row>
    <row r="125" spans="1:72" ht="30.75" customHeight="1" outlineLevel="1" x14ac:dyDescent="0.25">
      <c r="A125" s="106"/>
      <c r="B125" s="59">
        <v>10</v>
      </c>
      <c r="C125" s="104" t="s">
        <v>326</v>
      </c>
      <c r="D125" s="104" t="s">
        <v>781</v>
      </c>
      <c r="E125" s="104">
        <v>2015</v>
      </c>
      <c r="F125" s="104">
        <v>447275.78399999999</v>
      </c>
      <c r="G125" s="104">
        <v>435766</v>
      </c>
      <c r="H125" s="104"/>
      <c r="I125" s="104"/>
      <c r="J125" s="104"/>
      <c r="K125" s="104"/>
      <c r="L125" s="104"/>
      <c r="M125" s="104">
        <v>0</v>
      </c>
      <c r="N125" s="104">
        <f t="shared" si="183"/>
        <v>0</v>
      </c>
      <c r="O125" s="104">
        <v>392189</v>
      </c>
      <c r="P125" s="104">
        <v>1</v>
      </c>
      <c r="Q125" s="26">
        <v>392189</v>
      </c>
      <c r="R125" s="104">
        <v>1</v>
      </c>
      <c r="S125" s="104">
        <f t="shared" si="138"/>
        <v>392189</v>
      </c>
      <c r="T125" s="104"/>
      <c r="U125" s="26">
        <f t="shared" si="184"/>
        <v>150000</v>
      </c>
      <c r="V125" s="113">
        <f t="shared" si="184"/>
        <v>1</v>
      </c>
      <c r="W125" s="113"/>
      <c r="X125" s="113">
        <f t="shared" si="185"/>
        <v>0</v>
      </c>
      <c r="Y125" s="113">
        <v>150000</v>
      </c>
      <c r="Z125" s="113">
        <f t="shared" si="186"/>
        <v>1</v>
      </c>
      <c r="AA125" s="118">
        <v>-150000</v>
      </c>
      <c r="AB125" s="122"/>
      <c r="AC125" s="26">
        <f t="shared" si="142"/>
        <v>0</v>
      </c>
      <c r="AD125" s="104">
        <f t="shared" si="142"/>
        <v>0</v>
      </c>
      <c r="AE125" s="104"/>
      <c r="AF125" s="104">
        <f t="shared" si="177"/>
        <v>0</v>
      </c>
      <c r="AG125" s="104"/>
      <c r="AH125" s="104">
        <f t="shared" si="178"/>
        <v>0</v>
      </c>
      <c r="AI125" s="104">
        <f t="shared" si="179"/>
        <v>0</v>
      </c>
      <c r="AJ125" s="104"/>
      <c r="AK125" s="104">
        <v>1</v>
      </c>
      <c r="AL125" s="104">
        <v>0</v>
      </c>
      <c r="AM125" s="104">
        <v>0</v>
      </c>
      <c r="AN125" s="104">
        <f t="shared" si="145"/>
        <v>-392189</v>
      </c>
      <c r="AO125" s="104"/>
      <c r="AP125" s="113">
        <f t="shared" si="180"/>
        <v>150000</v>
      </c>
      <c r="AQ125" s="113"/>
      <c r="AR125" s="34">
        <f t="shared" si="181"/>
        <v>392189</v>
      </c>
      <c r="AS125" s="10">
        <f t="shared" si="146"/>
        <v>1</v>
      </c>
      <c r="AT125" s="10"/>
      <c r="AU125" s="10">
        <f t="shared" si="147"/>
        <v>0</v>
      </c>
      <c r="AV125" s="10">
        <f>242189+150000</f>
        <v>392189</v>
      </c>
      <c r="AW125" s="10">
        <f t="shared" si="154"/>
        <v>1</v>
      </c>
      <c r="AX125" s="10">
        <f>AV125/0.9*0.1</f>
        <v>43576.555555555562</v>
      </c>
      <c r="AY125" s="10">
        <v>1</v>
      </c>
      <c r="AZ125" s="10"/>
      <c r="BA125" s="10">
        <v>0</v>
      </c>
      <c r="BB125" s="10">
        <v>0</v>
      </c>
      <c r="BC125" s="10">
        <f t="shared" si="135"/>
        <v>0</v>
      </c>
      <c r="BD125" s="10"/>
      <c r="BE125" s="26">
        <f t="shared" si="148"/>
        <v>0</v>
      </c>
      <c r="BF125" s="104">
        <f t="shared" si="148"/>
        <v>0</v>
      </c>
      <c r="BG125" s="104"/>
      <c r="BH125" s="104">
        <f t="shared" si="149"/>
        <v>0</v>
      </c>
      <c r="BI125" s="104"/>
      <c r="BJ125" s="104">
        <f t="shared" si="150"/>
        <v>0</v>
      </c>
      <c r="BK125" s="104"/>
      <c r="BL125" s="104"/>
      <c r="BM125" s="104"/>
      <c r="BN125" s="104" t="s">
        <v>782</v>
      </c>
      <c r="BO125" s="104" t="s">
        <v>1591</v>
      </c>
      <c r="BP125" s="104" t="s">
        <v>783</v>
      </c>
      <c r="BQ125" s="104" t="s">
        <v>784</v>
      </c>
      <c r="BR125" s="104" t="s">
        <v>785</v>
      </c>
      <c r="BS125" s="104" t="s">
        <v>786</v>
      </c>
      <c r="BT125" s="55" t="s">
        <v>787</v>
      </c>
    </row>
    <row r="126" spans="1:72" ht="42" customHeight="1" outlineLevel="1" x14ac:dyDescent="0.25">
      <c r="A126" s="106"/>
      <c r="B126" s="59">
        <v>11</v>
      </c>
      <c r="C126" s="104" t="s">
        <v>1467</v>
      </c>
      <c r="D126" s="104" t="s">
        <v>788</v>
      </c>
      <c r="E126" s="104" t="s">
        <v>10</v>
      </c>
      <c r="F126" s="104">
        <v>679576.28899999999</v>
      </c>
      <c r="G126" s="104">
        <v>672599</v>
      </c>
      <c r="H126" s="104"/>
      <c r="I126" s="104"/>
      <c r="J126" s="104"/>
      <c r="K126" s="104"/>
      <c r="L126" s="104"/>
      <c r="M126" s="104">
        <v>0</v>
      </c>
      <c r="N126" s="104">
        <f t="shared" si="183"/>
        <v>0</v>
      </c>
      <c r="O126" s="104">
        <v>605339</v>
      </c>
      <c r="P126" s="104">
        <v>1</v>
      </c>
      <c r="Q126" s="26">
        <v>200000</v>
      </c>
      <c r="R126" s="104">
        <v>1</v>
      </c>
      <c r="S126" s="104">
        <f t="shared" si="138"/>
        <v>200000</v>
      </c>
      <c r="T126" s="104"/>
      <c r="U126" s="26">
        <f t="shared" si="184"/>
        <v>200000</v>
      </c>
      <c r="V126" s="113">
        <f t="shared" si="184"/>
        <v>1</v>
      </c>
      <c r="W126" s="113"/>
      <c r="X126" s="113">
        <f t="shared" si="185"/>
        <v>0</v>
      </c>
      <c r="Y126" s="113">
        <v>200000</v>
      </c>
      <c r="Z126" s="113">
        <f t="shared" si="186"/>
        <v>1</v>
      </c>
      <c r="AA126" s="118">
        <v>-200000</v>
      </c>
      <c r="AB126" s="122"/>
      <c r="AC126" s="26">
        <f t="shared" si="142"/>
        <v>0</v>
      </c>
      <c r="AD126" s="104">
        <f t="shared" si="142"/>
        <v>0</v>
      </c>
      <c r="AE126" s="104"/>
      <c r="AF126" s="104">
        <f t="shared" si="177"/>
        <v>0</v>
      </c>
      <c r="AG126" s="104"/>
      <c r="AH126" s="104">
        <f t="shared" si="178"/>
        <v>0</v>
      </c>
      <c r="AI126" s="104">
        <f t="shared" si="179"/>
        <v>0</v>
      </c>
      <c r="AJ126" s="104"/>
      <c r="AK126" s="104">
        <v>1</v>
      </c>
      <c r="AL126" s="104">
        <v>405339</v>
      </c>
      <c r="AM126" s="104">
        <v>1</v>
      </c>
      <c r="AN126" s="104">
        <f t="shared" si="145"/>
        <v>-200000</v>
      </c>
      <c r="AO126" s="104"/>
      <c r="AP126" s="113">
        <f t="shared" si="180"/>
        <v>200000</v>
      </c>
      <c r="AQ126" s="113"/>
      <c r="AR126" s="34">
        <f t="shared" si="181"/>
        <v>605339</v>
      </c>
      <c r="AS126" s="10">
        <f t="shared" si="146"/>
        <v>1</v>
      </c>
      <c r="AT126" s="10"/>
      <c r="AU126" s="10">
        <f t="shared" si="147"/>
        <v>0</v>
      </c>
      <c r="AV126" s="10">
        <f>605339</f>
        <v>605339</v>
      </c>
      <c r="AW126" s="10">
        <f t="shared" si="154"/>
        <v>1</v>
      </c>
      <c r="AX126" s="10">
        <f>AV126/0.9*0.1</f>
        <v>67259.888888888891</v>
      </c>
      <c r="AY126" s="10">
        <v>1</v>
      </c>
      <c r="AZ126" s="10"/>
      <c r="BA126" s="10">
        <v>0</v>
      </c>
      <c r="BB126" s="10">
        <v>0</v>
      </c>
      <c r="BC126" s="10">
        <f t="shared" si="135"/>
        <v>0</v>
      </c>
      <c r="BD126" s="10"/>
      <c r="BE126" s="26">
        <f t="shared" si="148"/>
        <v>0</v>
      </c>
      <c r="BF126" s="104">
        <f t="shared" si="148"/>
        <v>0</v>
      </c>
      <c r="BG126" s="104"/>
      <c r="BH126" s="104">
        <f t="shared" si="149"/>
        <v>0</v>
      </c>
      <c r="BI126" s="104"/>
      <c r="BJ126" s="104">
        <f t="shared" si="150"/>
        <v>0</v>
      </c>
      <c r="BK126" s="104"/>
      <c r="BL126" s="104"/>
      <c r="BM126" s="104"/>
      <c r="BN126" s="104" t="s">
        <v>789</v>
      </c>
      <c r="BO126" s="104" t="s">
        <v>1592</v>
      </c>
      <c r="BP126" s="104" t="s">
        <v>790</v>
      </c>
      <c r="BQ126" s="104" t="s">
        <v>791</v>
      </c>
      <c r="BR126" s="104" t="s">
        <v>792</v>
      </c>
      <c r="BS126" s="104" t="s">
        <v>11</v>
      </c>
      <c r="BT126" s="55" t="s">
        <v>793</v>
      </c>
    </row>
    <row r="127" spans="1:72" ht="39.75" customHeight="1" outlineLevel="1" x14ac:dyDescent="0.25">
      <c r="A127" s="106"/>
      <c r="B127" s="59">
        <v>12</v>
      </c>
      <c r="C127" s="104" t="s">
        <v>1468</v>
      </c>
      <c r="D127" s="104" t="s">
        <v>801</v>
      </c>
      <c r="E127" s="104">
        <v>2016</v>
      </c>
      <c r="F127" s="104">
        <v>669750</v>
      </c>
      <c r="G127" s="104">
        <v>656552</v>
      </c>
      <c r="H127" s="104"/>
      <c r="I127" s="104"/>
      <c r="J127" s="104"/>
      <c r="K127" s="104"/>
      <c r="L127" s="104"/>
      <c r="M127" s="104">
        <v>0</v>
      </c>
      <c r="N127" s="104">
        <f t="shared" si="183"/>
        <v>0</v>
      </c>
      <c r="O127" s="104">
        <v>590897</v>
      </c>
      <c r="P127" s="104">
        <v>1</v>
      </c>
      <c r="Q127" s="26">
        <v>0</v>
      </c>
      <c r="R127" s="104">
        <v>0</v>
      </c>
      <c r="S127" s="104">
        <f t="shared" si="138"/>
        <v>0</v>
      </c>
      <c r="T127" s="104"/>
      <c r="U127" s="26">
        <f t="shared" si="184"/>
        <v>0</v>
      </c>
      <c r="V127" s="113">
        <f t="shared" si="184"/>
        <v>0</v>
      </c>
      <c r="W127" s="113"/>
      <c r="X127" s="113">
        <f t="shared" si="185"/>
        <v>0</v>
      </c>
      <c r="Y127" s="113"/>
      <c r="Z127" s="113">
        <f t="shared" si="186"/>
        <v>0</v>
      </c>
      <c r="AA127" s="118">
        <v>0</v>
      </c>
      <c r="AB127" s="122"/>
      <c r="AC127" s="26">
        <f t="shared" si="142"/>
        <v>0</v>
      </c>
      <c r="AD127" s="104">
        <f t="shared" si="142"/>
        <v>0</v>
      </c>
      <c r="AE127" s="104"/>
      <c r="AF127" s="104">
        <f t="shared" si="177"/>
        <v>0</v>
      </c>
      <c r="AG127" s="104"/>
      <c r="AH127" s="104">
        <f t="shared" si="178"/>
        <v>0</v>
      </c>
      <c r="AI127" s="104">
        <f t="shared" si="179"/>
        <v>0</v>
      </c>
      <c r="AJ127" s="104"/>
      <c r="AK127" s="104"/>
      <c r="AL127" s="104">
        <v>590897</v>
      </c>
      <c r="AM127" s="104">
        <v>1</v>
      </c>
      <c r="AN127" s="104">
        <f t="shared" si="145"/>
        <v>0</v>
      </c>
      <c r="AO127" s="104"/>
      <c r="AP127" s="113">
        <f t="shared" si="180"/>
        <v>0</v>
      </c>
      <c r="AQ127" s="113"/>
      <c r="AR127" s="34">
        <f t="shared" si="181"/>
        <v>590897</v>
      </c>
      <c r="AS127" s="10">
        <f t="shared" si="146"/>
        <v>1</v>
      </c>
      <c r="AT127" s="10"/>
      <c r="AU127" s="10">
        <f t="shared" si="147"/>
        <v>0</v>
      </c>
      <c r="AV127" s="10">
        <v>590897</v>
      </c>
      <c r="AW127" s="10">
        <f t="shared" si="154"/>
        <v>1</v>
      </c>
      <c r="AX127" s="10">
        <f>AR127/0.9*0.1</f>
        <v>65655.222222222234</v>
      </c>
      <c r="AY127" s="10">
        <v>1</v>
      </c>
      <c r="AZ127" s="10"/>
      <c r="BA127" s="10">
        <v>0</v>
      </c>
      <c r="BB127" s="10">
        <v>0</v>
      </c>
      <c r="BC127" s="10">
        <f t="shared" si="135"/>
        <v>0</v>
      </c>
      <c r="BD127" s="10"/>
      <c r="BE127" s="26">
        <f t="shared" si="148"/>
        <v>0</v>
      </c>
      <c r="BF127" s="104">
        <f t="shared" si="148"/>
        <v>0</v>
      </c>
      <c r="BG127" s="104"/>
      <c r="BH127" s="104">
        <f t="shared" si="149"/>
        <v>0</v>
      </c>
      <c r="BI127" s="104"/>
      <c r="BJ127" s="104">
        <f t="shared" si="150"/>
        <v>0</v>
      </c>
      <c r="BK127" s="104"/>
      <c r="BL127" s="104"/>
      <c r="BM127" s="104"/>
      <c r="BN127" s="104" t="s">
        <v>802</v>
      </c>
      <c r="BO127" s="104" t="s">
        <v>1593</v>
      </c>
      <c r="BP127" s="104" t="s">
        <v>803</v>
      </c>
      <c r="BQ127" s="104" t="s">
        <v>804</v>
      </c>
      <c r="BR127" s="104" t="s">
        <v>805</v>
      </c>
      <c r="BS127" s="104" t="s">
        <v>806</v>
      </c>
      <c r="BT127" s="55" t="s">
        <v>807</v>
      </c>
    </row>
    <row r="128" spans="1:72" ht="43.5" customHeight="1" outlineLevel="1" x14ac:dyDescent="0.25">
      <c r="A128" s="106"/>
      <c r="B128" s="59">
        <v>13</v>
      </c>
      <c r="C128" s="104" t="s">
        <v>1469</v>
      </c>
      <c r="D128" s="104" t="s">
        <v>808</v>
      </c>
      <c r="E128" s="104">
        <v>2015</v>
      </c>
      <c r="F128" s="104">
        <v>279242</v>
      </c>
      <c r="G128" s="104">
        <v>248462</v>
      </c>
      <c r="H128" s="104"/>
      <c r="I128" s="104"/>
      <c r="J128" s="104"/>
      <c r="K128" s="104"/>
      <c r="L128" s="104"/>
      <c r="M128" s="104">
        <v>0</v>
      </c>
      <c r="N128" s="104">
        <f t="shared" si="183"/>
        <v>0</v>
      </c>
      <c r="O128" s="104">
        <v>223616</v>
      </c>
      <c r="P128" s="104">
        <v>1</v>
      </c>
      <c r="Q128" s="26">
        <v>223616</v>
      </c>
      <c r="R128" s="104">
        <v>1</v>
      </c>
      <c r="S128" s="104">
        <f t="shared" si="138"/>
        <v>223616</v>
      </c>
      <c r="T128" s="104"/>
      <c r="U128" s="26">
        <f t="shared" si="184"/>
        <v>223616</v>
      </c>
      <c r="V128" s="113">
        <f t="shared" si="184"/>
        <v>1</v>
      </c>
      <c r="W128" s="113"/>
      <c r="X128" s="113">
        <f t="shared" si="185"/>
        <v>0</v>
      </c>
      <c r="Y128" s="113">
        <v>223616</v>
      </c>
      <c r="Z128" s="113">
        <f t="shared" si="186"/>
        <v>1</v>
      </c>
      <c r="AA128" s="118">
        <v>-223616</v>
      </c>
      <c r="AB128" s="122"/>
      <c r="AC128" s="26">
        <f t="shared" si="142"/>
        <v>0</v>
      </c>
      <c r="AD128" s="104">
        <f t="shared" si="142"/>
        <v>0</v>
      </c>
      <c r="AE128" s="104"/>
      <c r="AF128" s="104">
        <f t="shared" si="177"/>
        <v>0</v>
      </c>
      <c r="AG128" s="104"/>
      <c r="AH128" s="104">
        <f t="shared" si="178"/>
        <v>0</v>
      </c>
      <c r="AI128" s="104">
        <f t="shared" si="179"/>
        <v>0</v>
      </c>
      <c r="AJ128" s="104">
        <v>1</v>
      </c>
      <c r="AK128" s="104"/>
      <c r="AL128" s="104">
        <v>0</v>
      </c>
      <c r="AM128" s="104">
        <v>0</v>
      </c>
      <c r="AN128" s="104">
        <f t="shared" si="145"/>
        <v>-223616</v>
      </c>
      <c r="AO128" s="104"/>
      <c r="AP128" s="113">
        <f t="shared" si="180"/>
        <v>223616</v>
      </c>
      <c r="AQ128" s="113"/>
      <c r="AR128" s="34">
        <f t="shared" si="181"/>
        <v>223616</v>
      </c>
      <c r="AS128" s="10">
        <f t="shared" si="146"/>
        <v>1</v>
      </c>
      <c r="AT128" s="10"/>
      <c r="AU128" s="10">
        <f t="shared" si="147"/>
        <v>0</v>
      </c>
      <c r="AV128" s="10">
        <f>223616</f>
        <v>223616</v>
      </c>
      <c r="AW128" s="10">
        <f t="shared" si="154"/>
        <v>1</v>
      </c>
      <c r="AX128" s="10">
        <f>AR128/0.9*0.1</f>
        <v>24846.222222222223</v>
      </c>
      <c r="AY128" s="10"/>
      <c r="AZ128" s="10"/>
      <c r="BA128" s="10">
        <v>0</v>
      </c>
      <c r="BB128" s="10">
        <v>0</v>
      </c>
      <c r="BC128" s="10">
        <f t="shared" si="135"/>
        <v>0</v>
      </c>
      <c r="BD128" s="10"/>
      <c r="BE128" s="26">
        <f t="shared" si="148"/>
        <v>0</v>
      </c>
      <c r="BF128" s="104">
        <f t="shared" si="148"/>
        <v>0</v>
      </c>
      <c r="BG128" s="104"/>
      <c r="BH128" s="104">
        <f t="shared" si="149"/>
        <v>0</v>
      </c>
      <c r="BI128" s="104"/>
      <c r="BJ128" s="104">
        <f t="shared" si="150"/>
        <v>0</v>
      </c>
      <c r="BK128" s="104"/>
      <c r="BL128" s="104"/>
      <c r="BM128" s="104"/>
      <c r="BN128" s="104" t="s">
        <v>809</v>
      </c>
      <c r="BO128" s="104" t="s">
        <v>1594</v>
      </c>
      <c r="BP128" s="104" t="s">
        <v>810</v>
      </c>
      <c r="BQ128" s="104" t="s">
        <v>811</v>
      </c>
      <c r="BR128" s="104" t="s">
        <v>812</v>
      </c>
      <c r="BS128" s="104" t="s">
        <v>814</v>
      </c>
      <c r="BT128" s="55" t="s">
        <v>813</v>
      </c>
    </row>
    <row r="129" spans="1:77" ht="59.25" customHeight="1" outlineLevel="1" x14ac:dyDescent="0.25">
      <c r="A129" s="106"/>
      <c r="B129" s="59">
        <v>14</v>
      </c>
      <c r="C129" s="104" t="s">
        <v>1470</v>
      </c>
      <c r="D129" s="104" t="s">
        <v>822</v>
      </c>
      <c r="E129" s="104">
        <v>2015</v>
      </c>
      <c r="F129" s="104">
        <v>288778</v>
      </c>
      <c r="G129" s="104">
        <v>262451</v>
      </c>
      <c r="H129" s="104"/>
      <c r="I129" s="104"/>
      <c r="J129" s="104"/>
      <c r="K129" s="104">
        <v>1</v>
      </c>
      <c r="L129" s="104">
        <v>1</v>
      </c>
      <c r="M129" s="104">
        <v>0</v>
      </c>
      <c r="N129" s="104">
        <f t="shared" si="183"/>
        <v>0</v>
      </c>
      <c r="O129" s="104">
        <v>236206</v>
      </c>
      <c r="P129" s="104">
        <v>1</v>
      </c>
      <c r="Q129" s="26">
        <v>236206</v>
      </c>
      <c r="R129" s="104">
        <v>1</v>
      </c>
      <c r="S129" s="104">
        <f t="shared" si="138"/>
        <v>236206</v>
      </c>
      <c r="T129" s="104"/>
      <c r="U129" s="26">
        <f t="shared" si="184"/>
        <v>236206</v>
      </c>
      <c r="V129" s="113">
        <f t="shared" si="184"/>
        <v>1</v>
      </c>
      <c r="W129" s="113"/>
      <c r="X129" s="113">
        <f t="shared" si="185"/>
        <v>0</v>
      </c>
      <c r="Y129" s="113">
        <v>236206</v>
      </c>
      <c r="Z129" s="113">
        <f t="shared" si="186"/>
        <v>1</v>
      </c>
      <c r="AA129" s="118">
        <v>-236206</v>
      </c>
      <c r="AB129" s="122"/>
      <c r="AC129" s="26">
        <f t="shared" si="142"/>
        <v>0</v>
      </c>
      <c r="AD129" s="104">
        <f t="shared" si="142"/>
        <v>0</v>
      </c>
      <c r="AE129" s="104"/>
      <c r="AF129" s="104">
        <f t="shared" si="177"/>
        <v>0</v>
      </c>
      <c r="AG129" s="104"/>
      <c r="AH129" s="104">
        <f t="shared" si="178"/>
        <v>0</v>
      </c>
      <c r="AI129" s="104">
        <f t="shared" si="179"/>
        <v>0</v>
      </c>
      <c r="AJ129" s="104">
        <v>1</v>
      </c>
      <c r="AK129" s="104"/>
      <c r="AL129" s="104">
        <v>0</v>
      </c>
      <c r="AM129" s="104">
        <v>0</v>
      </c>
      <c r="AN129" s="104">
        <f t="shared" si="145"/>
        <v>-236206</v>
      </c>
      <c r="AO129" s="104"/>
      <c r="AP129" s="113">
        <f t="shared" si="180"/>
        <v>236206</v>
      </c>
      <c r="AQ129" s="113"/>
      <c r="AR129" s="34">
        <f t="shared" si="181"/>
        <v>236206</v>
      </c>
      <c r="AS129" s="10">
        <f t="shared" si="146"/>
        <v>1</v>
      </c>
      <c r="AT129" s="10"/>
      <c r="AU129" s="10">
        <f t="shared" si="147"/>
        <v>0</v>
      </c>
      <c r="AV129" s="10">
        <f>236206</f>
        <v>236206</v>
      </c>
      <c r="AW129" s="10">
        <f t="shared" si="154"/>
        <v>1</v>
      </c>
      <c r="AX129" s="10">
        <f t="shared" ref="AX129:AX131" si="187">AR129/0.9*0.1</f>
        <v>26245.111111111113</v>
      </c>
      <c r="AY129" s="10"/>
      <c r="AZ129" s="10"/>
      <c r="BA129" s="10">
        <v>0</v>
      </c>
      <c r="BB129" s="10">
        <v>0</v>
      </c>
      <c r="BC129" s="10">
        <f t="shared" si="135"/>
        <v>0</v>
      </c>
      <c r="BD129" s="10"/>
      <c r="BE129" s="26">
        <f t="shared" si="148"/>
        <v>0</v>
      </c>
      <c r="BF129" s="104">
        <f t="shared" si="148"/>
        <v>0</v>
      </c>
      <c r="BG129" s="104"/>
      <c r="BH129" s="104">
        <f t="shared" si="149"/>
        <v>0</v>
      </c>
      <c r="BI129" s="104"/>
      <c r="BJ129" s="104">
        <f t="shared" si="150"/>
        <v>0</v>
      </c>
      <c r="BK129" s="104"/>
      <c r="BL129" s="104"/>
      <c r="BM129" s="104"/>
      <c r="BN129" s="104" t="s">
        <v>823</v>
      </c>
      <c r="BO129" s="104" t="s">
        <v>1595</v>
      </c>
      <c r="BP129" s="104" t="s">
        <v>824</v>
      </c>
      <c r="BQ129" s="104" t="s">
        <v>825</v>
      </c>
      <c r="BR129" s="104" t="s">
        <v>826</v>
      </c>
      <c r="BS129" s="104" t="s">
        <v>827</v>
      </c>
      <c r="BT129" s="55" t="s">
        <v>828</v>
      </c>
    </row>
    <row r="130" spans="1:77" ht="56.25" customHeight="1" outlineLevel="1" x14ac:dyDescent="0.25">
      <c r="A130" s="106"/>
      <c r="B130" s="59">
        <v>15</v>
      </c>
      <c r="C130" s="104" t="s">
        <v>1471</v>
      </c>
      <c r="D130" s="104" t="s">
        <v>815</v>
      </c>
      <c r="E130" s="104">
        <v>2016</v>
      </c>
      <c r="F130" s="104">
        <v>484131</v>
      </c>
      <c r="G130" s="104">
        <v>451619</v>
      </c>
      <c r="H130" s="104"/>
      <c r="I130" s="104"/>
      <c r="J130" s="104"/>
      <c r="K130" s="104"/>
      <c r="L130" s="104"/>
      <c r="M130" s="104">
        <v>0</v>
      </c>
      <c r="N130" s="104">
        <f t="shared" si="183"/>
        <v>0</v>
      </c>
      <c r="O130" s="104">
        <v>406457</v>
      </c>
      <c r="P130" s="104">
        <v>1</v>
      </c>
      <c r="Q130" s="26">
        <v>0</v>
      </c>
      <c r="R130" s="104">
        <v>0</v>
      </c>
      <c r="S130" s="104">
        <f t="shared" si="138"/>
        <v>0</v>
      </c>
      <c r="T130" s="104"/>
      <c r="U130" s="26">
        <f t="shared" si="184"/>
        <v>0</v>
      </c>
      <c r="V130" s="113">
        <f t="shared" si="184"/>
        <v>0</v>
      </c>
      <c r="W130" s="113"/>
      <c r="X130" s="113">
        <f t="shared" si="185"/>
        <v>0</v>
      </c>
      <c r="Y130" s="113"/>
      <c r="Z130" s="113">
        <f t="shared" si="186"/>
        <v>0</v>
      </c>
      <c r="AA130" s="118">
        <v>0</v>
      </c>
      <c r="AB130" s="122"/>
      <c r="AC130" s="26">
        <f t="shared" si="142"/>
        <v>0</v>
      </c>
      <c r="AD130" s="104">
        <f t="shared" si="142"/>
        <v>0</v>
      </c>
      <c r="AE130" s="104"/>
      <c r="AF130" s="104">
        <f t="shared" si="177"/>
        <v>0</v>
      </c>
      <c r="AG130" s="104"/>
      <c r="AH130" s="104">
        <f t="shared" si="178"/>
        <v>0</v>
      </c>
      <c r="AI130" s="104">
        <f t="shared" si="179"/>
        <v>0</v>
      </c>
      <c r="AJ130" s="104"/>
      <c r="AK130" s="104"/>
      <c r="AL130" s="104">
        <v>406457</v>
      </c>
      <c r="AM130" s="104">
        <v>0</v>
      </c>
      <c r="AN130" s="104">
        <f t="shared" si="145"/>
        <v>0</v>
      </c>
      <c r="AO130" s="104"/>
      <c r="AP130" s="113">
        <f t="shared" si="180"/>
        <v>0</v>
      </c>
      <c r="AQ130" s="113"/>
      <c r="AR130" s="34">
        <f t="shared" si="181"/>
        <v>406457</v>
      </c>
      <c r="AS130" s="10">
        <v>1</v>
      </c>
      <c r="AT130" s="10"/>
      <c r="AU130" s="10">
        <f t="shared" si="147"/>
        <v>0</v>
      </c>
      <c r="AV130" s="10">
        <v>406457</v>
      </c>
      <c r="AW130" s="10">
        <v>1</v>
      </c>
      <c r="AX130" s="10">
        <f t="shared" si="187"/>
        <v>45161.888888888891</v>
      </c>
      <c r="AY130" s="10">
        <v>1</v>
      </c>
      <c r="AZ130" s="10"/>
      <c r="BA130" s="10">
        <v>0</v>
      </c>
      <c r="BB130" s="10">
        <v>0</v>
      </c>
      <c r="BC130" s="10">
        <f t="shared" si="135"/>
        <v>0</v>
      </c>
      <c r="BD130" s="10"/>
      <c r="BE130" s="26">
        <f t="shared" si="148"/>
        <v>0</v>
      </c>
      <c r="BF130" s="104">
        <f t="shared" si="148"/>
        <v>0</v>
      </c>
      <c r="BG130" s="104"/>
      <c r="BH130" s="104">
        <f t="shared" si="149"/>
        <v>0</v>
      </c>
      <c r="BI130" s="104"/>
      <c r="BJ130" s="104">
        <f t="shared" si="150"/>
        <v>0</v>
      </c>
      <c r="BK130" s="104"/>
      <c r="BL130" s="104"/>
      <c r="BM130" s="104"/>
      <c r="BN130" s="104" t="s">
        <v>816</v>
      </c>
      <c r="BO130" s="104" t="s">
        <v>1596</v>
      </c>
      <c r="BP130" s="104" t="s">
        <v>817</v>
      </c>
      <c r="BQ130" s="104" t="s">
        <v>818</v>
      </c>
      <c r="BR130" s="104" t="s">
        <v>819</v>
      </c>
      <c r="BS130" s="104" t="s">
        <v>820</v>
      </c>
      <c r="BT130" s="55" t="s">
        <v>821</v>
      </c>
    </row>
    <row r="131" spans="1:77" ht="49.5" customHeight="1" outlineLevel="1" x14ac:dyDescent="0.25">
      <c r="A131" s="106"/>
      <c r="B131" s="59">
        <v>16</v>
      </c>
      <c r="C131" s="104" t="s">
        <v>1429</v>
      </c>
      <c r="D131" s="104" t="s">
        <v>1715</v>
      </c>
      <c r="E131" s="104" t="s">
        <v>10</v>
      </c>
      <c r="F131" s="104">
        <v>655227</v>
      </c>
      <c r="G131" s="104">
        <v>650653</v>
      </c>
      <c r="H131" s="104"/>
      <c r="I131" s="104"/>
      <c r="J131" s="104"/>
      <c r="K131" s="104"/>
      <c r="L131" s="104"/>
      <c r="M131" s="104"/>
      <c r="N131" s="104">
        <f t="shared" si="183"/>
        <v>0</v>
      </c>
      <c r="O131" s="104">
        <v>0</v>
      </c>
      <c r="P131" s="104">
        <v>0</v>
      </c>
      <c r="Q131" s="26">
        <v>0</v>
      </c>
      <c r="R131" s="104">
        <v>0</v>
      </c>
      <c r="S131" s="104">
        <f t="shared" si="138"/>
        <v>0</v>
      </c>
      <c r="T131" s="104"/>
      <c r="U131" s="26">
        <f t="shared" si="184"/>
        <v>130777</v>
      </c>
      <c r="V131" s="113">
        <f t="shared" si="184"/>
        <v>1</v>
      </c>
      <c r="W131" s="113"/>
      <c r="X131" s="113">
        <f t="shared" si="185"/>
        <v>0</v>
      </c>
      <c r="Y131" s="113">
        <f>100000+30777</f>
        <v>130777</v>
      </c>
      <c r="Z131" s="113">
        <f t="shared" si="186"/>
        <v>1</v>
      </c>
      <c r="AA131" s="118">
        <v>-130777</v>
      </c>
      <c r="AB131" s="122"/>
      <c r="AC131" s="26">
        <f t="shared" si="142"/>
        <v>0</v>
      </c>
      <c r="AD131" s="104">
        <f t="shared" si="142"/>
        <v>0</v>
      </c>
      <c r="AE131" s="104"/>
      <c r="AF131" s="104">
        <f t="shared" si="177"/>
        <v>0</v>
      </c>
      <c r="AG131" s="104"/>
      <c r="AH131" s="104">
        <f t="shared" si="178"/>
        <v>0</v>
      </c>
      <c r="AI131" s="104">
        <f t="shared" si="179"/>
        <v>0</v>
      </c>
      <c r="AJ131" s="104"/>
      <c r="AK131" s="104">
        <v>1</v>
      </c>
      <c r="AL131" s="104">
        <v>0</v>
      </c>
      <c r="AM131" s="104">
        <v>0</v>
      </c>
      <c r="AN131" s="104">
        <f t="shared" si="145"/>
        <v>-940397</v>
      </c>
      <c r="AO131" s="104"/>
      <c r="AP131" s="113">
        <f t="shared" si="180"/>
        <v>130777</v>
      </c>
      <c r="AQ131" s="113"/>
      <c r="AR131" s="34">
        <f t="shared" si="181"/>
        <v>940397</v>
      </c>
      <c r="AS131" s="10">
        <f t="shared" si="146"/>
        <v>2</v>
      </c>
      <c r="AT131" s="10">
        <f>454810+30777</f>
        <v>485587</v>
      </c>
      <c r="AU131" s="10">
        <f t="shared" si="147"/>
        <v>1</v>
      </c>
      <c r="AV131" s="10">
        <f>485587-30777</f>
        <v>454810</v>
      </c>
      <c r="AW131" s="10">
        <f t="shared" si="154"/>
        <v>1</v>
      </c>
      <c r="AX131" s="10">
        <f t="shared" si="187"/>
        <v>104488.55555555556</v>
      </c>
      <c r="AY131" s="10"/>
      <c r="AZ131" s="10">
        <v>1</v>
      </c>
      <c r="BA131" s="10">
        <v>306720</v>
      </c>
      <c r="BB131" s="10">
        <v>1</v>
      </c>
      <c r="BC131" s="10">
        <f t="shared" si="135"/>
        <v>306720</v>
      </c>
      <c r="BD131" s="10"/>
      <c r="BE131" s="26">
        <f t="shared" si="148"/>
        <v>0</v>
      </c>
      <c r="BF131" s="104">
        <f t="shared" si="148"/>
        <v>0</v>
      </c>
      <c r="BG131" s="104"/>
      <c r="BH131" s="104">
        <f t="shared" si="149"/>
        <v>0</v>
      </c>
      <c r="BI131" s="104"/>
      <c r="BJ131" s="104"/>
      <c r="BK131" s="104"/>
      <c r="BL131" s="104"/>
      <c r="BM131" s="104"/>
      <c r="BN131" s="104" t="s">
        <v>1803</v>
      </c>
      <c r="BO131" s="31" t="s">
        <v>1804</v>
      </c>
      <c r="BP131" s="31" t="s">
        <v>1805</v>
      </c>
      <c r="BQ131" s="31" t="s">
        <v>1806</v>
      </c>
      <c r="BR131" s="31" t="s">
        <v>1807</v>
      </c>
      <c r="BS131" s="31" t="s">
        <v>1808</v>
      </c>
      <c r="BT131" s="31" t="s">
        <v>1809</v>
      </c>
    </row>
    <row r="132" spans="1:77" ht="11.25" outlineLevel="1" x14ac:dyDescent="0.25">
      <c r="A132" s="106"/>
      <c r="B132" s="107">
        <v>1</v>
      </c>
      <c r="C132" s="104" t="s">
        <v>1257</v>
      </c>
      <c r="D132" s="104"/>
      <c r="E132" s="104"/>
      <c r="F132" s="104">
        <f>F133</f>
        <v>788819.5</v>
      </c>
      <c r="G132" s="104">
        <f t="shared" ref="G132:BM132" si="188">G133</f>
        <v>774352</v>
      </c>
      <c r="H132" s="104"/>
      <c r="I132" s="104"/>
      <c r="J132" s="104"/>
      <c r="K132" s="104"/>
      <c r="L132" s="104"/>
      <c r="M132" s="104">
        <f t="shared" si="188"/>
        <v>0</v>
      </c>
      <c r="N132" s="104">
        <f t="shared" si="188"/>
        <v>0</v>
      </c>
      <c r="O132" s="104">
        <v>348458</v>
      </c>
      <c r="P132" s="104">
        <v>1</v>
      </c>
      <c r="Q132" s="26">
        <v>150000</v>
      </c>
      <c r="R132" s="104">
        <v>1</v>
      </c>
      <c r="S132" s="104">
        <f t="shared" si="138"/>
        <v>150000</v>
      </c>
      <c r="T132" s="104"/>
      <c r="U132" s="26">
        <f t="shared" si="188"/>
        <v>150000</v>
      </c>
      <c r="V132" s="67">
        <f t="shared" si="188"/>
        <v>1</v>
      </c>
      <c r="W132" s="67">
        <f t="shared" si="188"/>
        <v>0</v>
      </c>
      <c r="X132" s="67">
        <f t="shared" si="188"/>
        <v>0</v>
      </c>
      <c r="Y132" s="67">
        <f t="shared" si="188"/>
        <v>150000</v>
      </c>
      <c r="Z132" s="67">
        <f t="shared" si="188"/>
        <v>1</v>
      </c>
      <c r="AA132" s="67">
        <f t="shared" si="188"/>
        <v>-150000</v>
      </c>
      <c r="AB132" s="67">
        <f t="shared" si="188"/>
        <v>0</v>
      </c>
      <c r="AC132" s="26">
        <f t="shared" si="188"/>
        <v>0</v>
      </c>
      <c r="AD132" s="104">
        <f t="shared" si="188"/>
        <v>0</v>
      </c>
      <c r="AE132" s="104">
        <f t="shared" si="188"/>
        <v>0</v>
      </c>
      <c r="AF132" s="104">
        <f t="shared" si="188"/>
        <v>0</v>
      </c>
      <c r="AG132" s="104">
        <f t="shared" si="188"/>
        <v>0</v>
      </c>
      <c r="AH132" s="104">
        <f t="shared" si="188"/>
        <v>0</v>
      </c>
      <c r="AI132" s="104">
        <f t="shared" si="188"/>
        <v>0</v>
      </c>
      <c r="AJ132" s="113">
        <f t="shared" si="188"/>
        <v>0</v>
      </c>
      <c r="AK132" s="113">
        <f t="shared" si="188"/>
        <v>1</v>
      </c>
      <c r="AL132" s="113">
        <f t="shared" si="188"/>
        <v>546917</v>
      </c>
      <c r="AM132" s="113">
        <f t="shared" si="188"/>
        <v>0</v>
      </c>
      <c r="AN132" s="113">
        <f t="shared" si="188"/>
        <v>-150000</v>
      </c>
      <c r="AO132" s="113">
        <f t="shared" si="188"/>
        <v>0</v>
      </c>
      <c r="AP132" s="113">
        <f t="shared" si="188"/>
        <v>150000</v>
      </c>
      <c r="AQ132" s="113"/>
      <c r="AR132" s="26">
        <f t="shared" si="188"/>
        <v>696917</v>
      </c>
      <c r="AS132" s="104">
        <f t="shared" si="188"/>
        <v>1</v>
      </c>
      <c r="AT132" s="104">
        <f t="shared" si="188"/>
        <v>0</v>
      </c>
      <c r="AU132" s="104">
        <f t="shared" si="188"/>
        <v>1</v>
      </c>
      <c r="AV132" s="104">
        <f t="shared" si="188"/>
        <v>696917</v>
      </c>
      <c r="AW132" s="104">
        <f t="shared" si="188"/>
        <v>0</v>
      </c>
      <c r="AX132" s="104">
        <f t="shared" si="188"/>
        <v>77435.222222222234</v>
      </c>
      <c r="AY132" s="104">
        <f t="shared" si="188"/>
        <v>1</v>
      </c>
      <c r="AZ132" s="104">
        <f t="shared" si="188"/>
        <v>0</v>
      </c>
      <c r="BA132" s="104">
        <v>0</v>
      </c>
      <c r="BB132" s="104">
        <v>0</v>
      </c>
      <c r="BC132" s="10">
        <f t="shared" si="135"/>
        <v>0</v>
      </c>
      <c r="BD132" s="104"/>
      <c r="BE132" s="26">
        <f t="shared" si="188"/>
        <v>0</v>
      </c>
      <c r="BF132" s="104">
        <f t="shared" si="188"/>
        <v>0</v>
      </c>
      <c r="BG132" s="104">
        <f t="shared" si="188"/>
        <v>0</v>
      </c>
      <c r="BH132" s="104">
        <f t="shared" si="188"/>
        <v>0</v>
      </c>
      <c r="BI132" s="104">
        <f t="shared" si="188"/>
        <v>0</v>
      </c>
      <c r="BJ132" s="104">
        <f t="shared" si="188"/>
        <v>0</v>
      </c>
      <c r="BK132" s="104">
        <f t="shared" si="188"/>
        <v>0</v>
      </c>
      <c r="BL132" s="104">
        <f t="shared" si="188"/>
        <v>0</v>
      </c>
      <c r="BM132" s="104">
        <f t="shared" si="188"/>
        <v>0</v>
      </c>
      <c r="BN132" s="104"/>
      <c r="BO132" s="104"/>
      <c r="BP132" s="104"/>
      <c r="BQ132" s="104"/>
      <c r="BR132" s="104"/>
      <c r="BS132" s="104"/>
      <c r="BT132" s="55"/>
    </row>
    <row r="133" spans="1:77" ht="55.5" customHeight="1" outlineLevel="1" x14ac:dyDescent="0.25">
      <c r="A133" s="106"/>
      <c r="B133" s="107">
        <v>1</v>
      </c>
      <c r="C133" s="104" t="s">
        <v>1472</v>
      </c>
      <c r="D133" s="104" t="s">
        <v>776</v>
      </c>
      <c r="E133" s="104" t="s">
        <v>10</v>
      </c>
      <c r="F133" s="104">
        <v>788819.5</v>
      </c>
      <c r="G133" s="104">
        <v>774352</v>
      </c>
      <c r="H133" s="104"/>
      <c r="I133" s="104"/>
      <c r="J133" s="104"/>
      <c r="K133" s="104"/>
      <c r="L133" s="104"/>
      <c r="M133" s="104">
        <v>0</v>
      </c>
      <c r="N133" s="104">
        <f>AC133+AI133</f>
        <v>0</v>
      </c>
      <c r="O133" s="104">
        <v>348458</v>
      </c>
      <c r="P133" s="104">
        <v>1</v>
      </c>
      <c r="Q133" s="26">
        <v>150000</v>
      </c>
      <c r="R133" s="104">
        <v>1</v>
      </c>
      <c r="S133" s="104">
        <f t="shared" si="138"/>
        <v>150000</v>
      </c>
      <c r="T133" s="104"/>
      <c r="U133" s="26">
        <f t="shared" ref="U133:V133" si="189">W133+Y133</f>
        <v>150000</v>
      </c>
      <c r="V133" s="113">
        <f t="shared" si="189"/>
        <v>1</v>
      </c>
      <c r="W133" s="113"/>
      <c r="X133" s="113">
        <f t="shared" ref="X133" si="190">IF(W133,1,0)</f>
        <v>0</v>
      </c>
      <c r="Y133" s="113">
        <v>150000</v>
      </c>
      <c r="Z133" s="113">
        <f t="shared" ref="Z133" si="191">IF(Y133,1,0)</f>
        <v>1</v>
      </c>
      <c r="AA133" s="118">
        <v>-150000</v>
      </c>
      <c r="AB133" s="122"/>
      <c r="AC133" s="26">
        <f t="shared" si="142"/>
        <v>0</v>
      </c>
      <c r="AD133" s="104">
        <f t="shared" si="142"/>
        <v>0</v>
      </c>
      <c r="AE133" s="104"/>
      <c r="AF133" s="104">
        <f t="shared" ref="AF133" si="192">IF(AE133,1,0)</f>
        <v>0</v>
      </c>
      <c r="AG133" s="104"/>
      <c r="AH133" s="104">
        <f t="shared" ref="AH133" si="193">IF(AG133,1,0)</f>
        <v>0</v>
      </c>
      <c r="AI133" s="104">
        <f>AC133/0.9*0.1</f>
        <v>0</v>
      </c>
      <c r="AJ133" s="104"/>
      <c r="AK133" s="104">
        <v>1</v>
      </c>
      <c r="AL133" s="104">
        <v>546917</v>
      </c>
      <c r="AM133" s="104">
        <v>0</v>
      </c>
      <c r="AN133" s="104">
        <f t="shared" si="145"/>
        <v>-150000</v>
      </c>
      <c r="AO133" s="104"/>
      <c r="AP133" s="113">
        <f t="shared" si="180"/>
        <v>150000</v>
      </c>
      <c r="AQ133" s="113"/>
      <c r="AR133" s="34">
        <f t="shared" si="146"/>
        <v>696917</v>
      </c>
      <c r="AS133" s="10">
        <v>1</v>
      </c>
      <c r="AT133" s="10"/>
      <c r="AU133" s="10">
        <v>1</v>
      </c>
      <c r="AV133" s="10">
        <f>546917+150000</f>
        <v>696917</v>
      </c>
      <c r="AW133" s="10">
        <v>0</v>
      </c>
      <c r="AX133" s="10">
        <f>AR133/0.9*0.1</f>
        <v>77435.222222222234</v>
      </c>
      <c r="AY133" s="10">
        <v>1</v>
      </c>
      <c r="AZ133" s="10"/>
      <c r="BA133" s="10">
        <v>0</v>
      </c>
      <c r="BB133" s="10">
        <v>0</v>
      </c>
      <c r="BC133" s="10">
        <f t="shared" si="135"/>
        <v>0</v>
      </c>
      <c r="BD133" s="10"/>
      <c r="BE133" s="26">
        <f t="shared" si="148"/>
        <v>0</v>
      </c>
      <c r="BF133" s="104">
        <f t="shared" si="148"/>
        <v>0</v>
      </c>
      <c r="BG133" s="104"/>
      <c r="BH133" s="104">
        <f t="shared" si="149"/>
        <v>0</v>
      </c>
      <c r="BI133" s="104"/>
      <c r="BJ133" s="104">
        <f t="shared" si="150"/>
        <v>0</v>
      </c>
      <c r="BK133" s="104"/>
      <c r="BL133" s="104"/>
      <c r="BM133" s="104"/>
      <c r="BN133" s="104" t="s">
        <v>775</v>
      </c>
      <c r="BO133" s="104" t="s">
        <v>1569</v>
      </c>
      <c r="BP133" s="104" t="s">
        <v>777</v>
      </c>
      <c r="BQ133" s="104" t="s">
        <v>778</v>
      </c>
      <c r="BR133" s="104" t="s">
        <v>779</v>
      </c>
      <c r="BS133" s="104" t="s">
        <v>780</v>
      </c>
      <c r="BT133" s="55" t="s">
        <v>1597</v>
      </c>
    </row>
    <row r="134" spans="1:77" s="35" customFormat="1" ht="11.25" x14ac:dyDescent="0.25">
      <c r="A134" s="48"/>
      <c r="B134" s="57">
        <v>12</v>
      </c>
      <c r="C134" s="26" t="s">
        <v>536</v>
      </c>
      <c r="D134" s="26"/>
      <c r="E134" s="26"/>
      <c r="F134" s="27">
        <f>F135</f>
        <v>7510503.9199999999</v>
      </c>
      <c r="G134" s="27">
        <f t="shared" ref="G134:BT134" si="194">G135</f>
        <v>7358304</v>
      </c>
      <c r="H134" s="27">
        <f>H135</f>
        <v>6539664</v>
      </c>
      <c r="I134" s="27">
        <f>I135</f>
        <v>42028</v>
      </c>
      <c r="J134" s="27"/>
      <c r="K134" s="27"/>
      <c r="L134" s="27"/>
      <c r="M134" s="27">
        <f t="shared" si="194"/>
        <v>2006474</v>
      </c>
      <c r="N134" s="27">
        <f t="shared" si="194"/>
        <v>1718737.7777777778</v>
      </c>
      <c r="O134" s="27">
        <v>2934690</v>
      </c>
      <c r="P134" s="27">
        <v>12</v>
      </c>
      <c r="Q134" s="27">
        <v>1946840</v>
      </c>
      <c r="R134" s="26">
        <v>9</v>
      </c>
      <c r="S134" s="27">
        <f t="shared" si="194"/>
        <v>399976</v>
      </c>
      <c r="T134" s="27">
        <f t="shared" si="194"/>
        <v>0</v>
      </c>
      <c r="U134" s="27">
        <f t="shared" si="194"/>
        <v>1946840</v>
      </c>
      <c r="V134" s="27">
        <f t="shared" si="194"/>
        <v>9</v>
      </c>
      <c r="W134" s="27">
        <f t="shared" si="194"/>
        <v>1514460</v>
      </c>
      <c r="X134" s="27">
        <f t="shared" si="194"/>
        <v>7</v>
      </c>
      <c r="Y134" s="27">
        <f t="shared" si="194"/>
        <v>432380</v>
      </c>
      <c r="Z134" s="27">
        <f t="shared" si="194"/>
        <v>2</v>
      </c>
      <c r="AA134" s="27">
        <f t="shared" si="194"/>
        <v>-432380</v>
      </c>
      <c r="AB134" s="27">
        <f t="shared" si="194"/>
        <v>32404</v>
      </c>
      <c r="AC134" s="27">
        <f t="shared" si="194"/>
        <v>1546864</v>
      </c>
      <c r="AD134" s="26">
        <f t="shared" si="142"/>
        <v>7</v>
      </c>
      <c r="AE134" s="27">
        <f t="shared" si="194"/>
        <v>1546864</v>
      </c>
      <c r="AF134" s="27">
        <f t="shared" si="194"/>
        <v>7</v>
      </c>
      <c r="AG134" s="27">
        <f t="shared" si="194"/>
        <v>0</v>
      </c>
      <c r="AH134" s="27">
        <f t="shared" si="194"/>
        <v>0</v>
      </c>
      <c r="AI134" s="27">
        <f t="shared" si="194"/>
        <v>171873.77777777778</v>
      </c>
      <c r="AJ134" s="69">
        <f t="shared" si="194"/>
        <v>6</v>
      </c>
      <c r="AK134" s="69">
        <f t="shared" si="194"/>
        <v>3</v>
      </c>
      <c r="AL134" s="69">
        <f t="shared" si="194"/>
        <v>2618267</v>
      </c>
      <c r="AM134" s="69">
        <f t="shared" si="194"/>
        <v>3</v>
      </c>
      <c r="AN134" s="69">
        <f t="shared" si="194"/>
        <v>-654406</v>
      </c>
      <c r="AO134" s="69">
        <f t="shared" si="194"/>
        <v>0</v>
      </c>
      <c r="AP134" s="69">
        <f t="shared" si="194"/>
        <v>399976</v>
      </c>
      <c r="AQ134" s="69">
        <f t="shared" si="194"/>
        <v>0</v>
      </c>
      <c r="AR134" s="27">
        <f t="shared" si="194"/>
        <v>3272673</v>
      </c>
      <c r="AS134" s="69">
        <f t="shared" si="194"/>
        <v>6</v>
      </c>
      <c r="AT134" s="27">
        <f t="shared" si="194"/>
        <v>776232</v>
      </c>
      <c r="AU134" s="27">
        <f t="shared" si="194"/>
        <v>1</v>
      </c>
      <c r="AV134" s="27">
        <f t="shared" si="194"/>
        <v>2496441</v>
      </c>
      <c r="AW134" s="27">
        <f t="shared" si="194"/>
        <v>5</v>
      </c>
      <c r="AX134" s="27">
        <f t="shared" si="194"/>
        <v>363630.33333333343</v>
      </c>
      <c r="AY134" s="27">
        <f t="shared" si="194"/>
        <v>6</v>
      </c>
      <c r="AZ134" s="27">
        <f t="shared" si="194"/>
        <v>0</v>
      </c>
      <c r="BA134" s="27">
        <v>0</v>
      </c>
      <c r="BB134" s="27">
        <v>0</v>
      </c>
      <c r="BC134" s="10">
        <f t="shared" si="135"/>
        <v>0</v>
      </c>
      <c r="BD134" s="27"/>
      <c r="BE134" s="27">
        <f t="shared" si="194"/>
        <v>0</v>
      </c>
      <c r="BF134" s="69">
        <f t="shared" si="194"/>
        <v>0</v>
      </c>
      <c r="BG134" s="27">
        <f t="shared" si="194"/>
        <v>0</v>
      </c>
      <c r="BH134" s="27">
        <f t="shared" si="194"/>
        <v>0</v>
      </c>
      <c r="BI134" s="27">
        <f t="shared" si="194"/>
        <v>0</v>
      </c>
      <c r="BJ134" s="27">
        <f t="shared" si="194"/>
        <v>0</v>
      </c>
      <c r="BK134" s="27">
        <f t="shared" si="194"/>
        <v>0</v>
      </c>
      <c r="BL134" s="27">
        <f t="shared" si="194"/>
        <v>0</v>
      </c>
      <c r="BM134" s="27">
        <f t="shared" si="194"/>
        <v>0</v>
      </c>
      <c r="BN134" s="27">
        <f t="shared" si="194"/>
        <v>0</v>
      </c>
      <c r="BO134" s="27">
        <f t="shared" si="194"/>
        <v>0</v>
      </c>
      <c r="BP134" s="27">
        <f t="shared" si="194"/>
        <v>0</v>
      </c>
      <c r="BQ134" s="27">
        <f t="shared" si="194"/>
        <v>0</v>
      </c>
      <c r="BR134" s="27">
        <f t="shared" si="194"/>
        <v>0</v>
      </c>
      <c r="BS134" s="27">
        <f t="shared" si="194"/>
        <v>0</v>
      </c>
      <c r="BT134" s="61">
        <f t="shared" si="194"/>
        <v>0</v>
      </c>
      <c r="BU134" s="25"/>
      <c r="BV134" s="25"/>
      <c r="BW134" s="25"/>
      <c r="BX134" s="25"/>
      <c r="BY134" s="25"/>
    </row>
    <row r="135" spans="1:77" ht="11.25" outlineLevel="1" x14ac:dyDescent="0.25">
      <c r="A135" s="106"/>
      <c r="B135" s="59">
        <v>12</v>
      </c>
      <c r="C135" s="104" t="s">
        <v>198</v>
      </c>
      <c r="D135" s="104"/>
      <c r="E135" s="104"/>
      <c r="F135" s="104">
        <f>SUM(F136:F147)</f>
        <v>7510503.9199999999</v>
      </c>
      <c r="G135" s="104">
        <f>SUM(G136:G147)</f>
        <v>7358304</v>
      </c>
      <c r="H135" s="104">
        <f>H136+H137+H138+H139+H140+H141+H142+H142</f>
        <v>6539664</v>
      </c>
      <c r="I135" s="104">
        <f>I136+I137+I138+I139+I140+I141+I142+I142</f>
        <v>42028</v>
      </c>
      <c r="J135" s="104"/>
      <c r="K135" s="104"/>
      <c r="L135" s="104"/>
      <c r="M135" s="104">
        <f>SUM(M136:M147)</f>
        <v>2006474</v>
      </c>
      <c r="N135" s="104">
        <f>SUM(N136:N147)</f>
        <v>1718737.7777777778</v>
      </c>
      <c r="O135" s="104">
        <v>2934690</v>
      </c>
      <c r="P135" s="104">
        <v>12</v>
      </c>
      <c r="Q135" s="26">
        <v>1946840</v>
      </c>
      <c r="R135" s="104">
        <v>9</v>
      </c>
      <c r="S135" s="26">
        <f t="shared" ref="S135:AI135" si="195">SUM(S136:S147)</f>
        <v>399976</v>
      </c>
      <c r="T135" s="26">
        <f t="shared" si="195"/>
        <v>0</v>
      </c>
      <c r="U135" s="26">
        <f t="shared" ref="U135:V135" si="196">SUM(U136:U147)</f>
        <v>1946840</v>
      </c>
      <c r="V135" s="67">
        <f t="shared" si="196"/>
        <v>9</v>
      </c>
      <c r="W135" s="67">
        <f t="shared" ref="W135:Z135" si="197">SUM(W136:W147)</f>
        <v>1514460</v>
      </c>
      <c r="X135" s="67">
        <f t="shared" si="197"/>
        <v>7</v>
      </c>
      <c r="Y135" s="67">
        <f t="shared" si="197"/>
        <v>432380</v>
      </c>
      <c r="Z135" s="67">
        <f t="shared" si="197"/>
        <v>2</v>
      </c>
      <c r="AA135" s="67">
        <f t="shared" ref="AA135:AB135" si="198">SUM(AA136:AA147)</f>
        <v>-432380</v>
      </c>
      <c r="AB135" s="67">
        <f t="shared" si="198"/>
        <v>32404</v>
      </c>
      <c r="AC135" s="26">
        <f t="shared" si="195"/>
        <v>1546864</v>
      </c>
      <c r="AD135" s="104">
        <f t="shared" si="195"/>
        <v>7</v>
      </c>
      <c r="AE135" s="104">
        <f t="shared" si="195"/>
        <v>1546864</v>
      </c>
      <c r="AF135" s="104">
        <f t="shared" si="195"/>
        <v>7</v>
      </c>
      <c r="AG135" s="104">
        <f t="shared" si="195"/>
        <v>0</v>
      </c>
      <c r="AH135" s="104">
        <f t="shared" si="195"/>
        <v>0</v>
      </c>
      <c r="AI135" s="104">
        <f t="shared" si="195"/>
        <v>171873.77777777778</v>
      </c>
      <c r="AJ135" s="113">
        <f t="shared" ref="AJ135:AQ135" si="199">SUM(AJ136:AJ147)</f>
        <v>6</v>
      </c>
      <c r="AK135" s="113">
        <f t="shared" si="199"/>
        <v>3</v>
      </c>
      <c r="AL135" s="113">
        <f t="shared" si="199"/>
        <v>2618267</v>
      </c>
      <c r="AM135" s="113">
        <f t="shared" si="199"/>
        <v>3</v>
      </c>
      <c r="AN135" s="113">
        <f t="shared" si="199"/>
        <v>-654406</v>
      </c>
      <c r="AO135" s="113">
        <f t="shared" si="199"/>
        <v>0</v>
      </c>
      <c r="AP135" s="113">
        <f t="shared" si="199"/>
        <v>399976</v>
      </c>
      <c r="AQ135" s="113">
        <f t="shared" si="199"/>
        <v>0</v>
      </c>
      <c r="AR135" s="26">
        <f t="shared" ref="AR135:AZ135" si="200">SUM(AR136:AR147)</f>
        <v>3272673</v>
      </c>
      <c r="AS135" s="104">
        <f t="shared" si="200"/>
        <v>6</v>
      </c>
      <c r="AT135" s="104">
        <f t="shared" si="200"/>
        <v>776232</v>
      </c>
      <c r="AU135" s="104">
        <f t="shared" si="200"/>
        <v>1</v>
      </c>
      <c r="AV135" s="104">
        <f t="shared" si="200"/>
        <v>2496441</v>
      </c>
      <c r="AW135" s="104">
        <f t="shared" si="200"/>
        <v>5</v>
      </c>
      <c r="AX135" s="104">
        <f t="shared" si="200"/>
        <v>363630.33333333343</v>
      </c>
      <c r="AY135" s="104">
        <f t="shared" si="200"/>
        <v>6</v>
      </c>
      <c r="AZ135" s="104">
        <f t="shared" si="200"/>
        <v>0</v>
      </c>
      <c r="BA135" s="104">
        <v>0</v>
      </c>
      <c r="BB135" s="104">
        <v>0</v>
      </c>
      <c r="BC135" s="10">
        <f t="shared" si="135"/>
        <v>0</v>
      </c>
      <c r="BD135" s="104"/>
      <c r="BE135" s="26">
        <f t="shared" ref="BE135:BT135" si="201">SUM(BE136:BE147)</f>
        <v>0</v>
      </c>
      <c r="BF135" s="104">
        <f t="shared" si="201"/>
        <v>0</v>
      </c>
      <c r="BG135" s="104">
        <f t="shared" si="201"/>
        <v>0</v>
      </c>
      <c r="BH135" s="104">
        <f t="shared" si="201"/>
        <v>0</v>
      </c>
      <c r="BI135" s="104">
        <f t="shared" si="201"/>
        <v>0</v>
      </c>
      <c r="BJ135" s="104">
        <f t="shared" si="201"/>
        <v>0</v>
      </c>
      <c r="BK135" s="104">
        <f t="shared" si="201"/>
        <v>0</v>
      </c>
      <c r="BL135" s="104">
        <f t="shared" si="201"/>
        <v>0</v>
      </c>
      <c r="BM135" s="104">
        <f t="shared" si="201"/>
        <v>0</v>
      </c>
      <c r="BN135" s="104">
        <f t="shared" si="201"/>
        <v>0</v>
      </c>
      <c r="BO135" s="104">
        <f t="shared" si="201"/>
        <v>0</v>
      </c>
      <c r="BP135" s="104">
        <f t="shared" si="201"/>
        <v>0</v>
      </c>
      <c r="BQ135" s="104">
        <f t="shared" si="201"/>
        <v>0</v>
      </c>
      <c r="BR135" s="104">
        <f t="shared" si="201"/>
        <v>0</v>
      </c>
      <c r="BS135" s="104">
        <f t="shared" si="201"/>
        <v>0</v>
      </c>
      <c r="BT135" s="55">
        <f t="shared" si="201"/>
        <v>0</v>
      </c>
    </row>
    <row r="136" spans="1:77" ht="69" customHeight="1" outlineLevel="1" x14ac:dyDescent="0.25">
      <c r="A136" s="106"/>
      <c r="B136" s="59">
        <v>1</v>
      </c>
      <c r="C136" s="104" t="s">
        <v>285</v>
      </c>
      <c r="D136" s="104" t="s">
        <v>286</v>
      </c>
      <c r="E136" s="104" t="s">
        <v>196</v>
      </c>
      <c r="F136" s="104">
        <v>629665</v>
      </c>
      <c r="G136" s="104">
        <v>621338</v>
      </c>
      <c r="H136" s="67">
        <v>614256</v>
      </c>
      <c r="I136" s="104">
        <f t="shared" ref="I136:I142" si="202">G136-H136</f>
        <v>7082</v>
      </c>
      <c r="J136" s="104">
        <v>1</v>
      </c>
      <c r="K136" s="104">
        <v>1</v>
      </c>
      <c r="L136" s="104">
        <v>1</v>
      </c>
      <c r="M136" s="104">
        <v>377778</v>
      </c>
      <c r="N136" s="104">
        <f>AC136+AI136</f>
        <v>236477.77777777778</v>
      </c>
      <c r="O136" s="104">
        <v>219204</v>
      </c>
      <c r="P136" s="104">
        <v>1</v>
      </c>
      <c r="Q136" s="26">
        <v>219204</v>
      </c>
      <c r="R136" s="104">
        <v>1</v>
      </c>
      <c r="S136" s="104">
        <f t="shared" si="138"/>
        <v>6374</v>
      </c>
      <c r="T136" s="104"/>
      <c r="U136" s="26">
        <f t="shared" ref="U136:V147" si="203">W136+Y136</f>
        <v>212830</v>
      </c>
      <c r="V136" s="113">
        <f t="shared" si="203"/>
        <v>1</v>
      </c>
      <c r="W136" s="113">
        <v>212830</v>
      </c>
      <c r="X136" s="113">
        <f t="shared" ref="X136:X147" si="204">IF(W136,1,0)</f>
        <v>1</v>
      </c>
      <c r="Y136" s="113"/>
      <c r="Z136" s="113">
        <f t="shared" ref="Z136:Z147" si="205">IF(Y136,1,0)</f>
        <v>0</v>
      </c>
      <c r="AA136" s="118">
        <v>0</v>
      </c>
      <c r="AB136" s="122"/>
      <c r="AC136" s="26">
        <f t="shared" si="142"/>
        <v>212830</v>
      </c>
      <c r="AD136" s="104">
        <f t="shared" si="142"/>
        <v>1</v>
      </c>
      <c r="AE136" s="104">
        <v>212830</v>
      </c>
      <c r="AF136" s="104">
        <f t="shared" ref="AF136:AF147" si="206">IF(AE136,1,0)</f>
        <v>1</v>
      </c>
      <c r="AG136" s="104"/>
      <c r="AH136" s="104">
        <f t="shared" ref="AH136:AH147" si="207">IF(AG136,1,0)</f>
        <v>0</v>
      </c>
      <c r="AI136" s="104">
        <f>AC136/0.9*0.1</f>
        <v>23647.777777777781</v>
      </c>
      <c r="AJ136" s="104">
        <v>1</v>
      </c>
      <c r="AK136" s="104"/>
      <c r="AL136" s="104">
        <v>0</v>
      </c>
      <c r="AM136" s="104">
        <v>0</v>
      </c>
      <c r="AN136" s="104">
        <f t="shared" si="145"/>
        <v>0</v>
      </c>
      <c r="AO136" s="104"/>
      <c r="AP136" s="113">
        <f>U136-AC136</f>
        <v>0</v>
      </c>
      <c r="AQ136" s="113"/>
      <c r="AR136" s="34">
        <f t="shared" si="146"/>
        <v>0</v>
      </c>
      <c r="AS136" s="10">
        <v>0</v>
      </c>
      <c r="AT136" s="10">
        <v>0</v>
      </c>
      <c r="AU136" s="10">
        <v>0</v>
      </c>
      <c r="AV136" s="10">
        <v>0</v>
      </c>
      <c r="AW136" s="10">
        <v>0</v>
      </c>
      <c r="AX136" s="10">
        <v>0</v>
      </c>
      <c r="AY136" s="10"/>
      <c r="AZ136" s="10"/>
      <c r="BA136" s="10">
        <v>0</v>
      </c>
      <c r="BB136" s="10">
        <v>0</v>
      </c>
      <c r="BC136" s="10">
        <f t="shared" si="135"/>
        <v>0</v>
      </c>
      <c r="BD136" s="10"/>
      <c r="BE136" s="26">
        <f t="shared" si="148"/>
        <v>0</v>
      </c>
      <c r="BF136" s="104">
        <f t="shared" si="148"/>
        <v>0</v>
      </c>
      <c r="BG136" s="104"/>
      <c r="BH136" s="104">
        <f t="shared" si="149"/>
        <v>0</v>
      </c>
      <c r="BI136" s="104"/>
      <c r="BJ136" s="104">
        <f t="shared" si="150"/>
        <v>0</v>
      </c>
      <c r="BK136" s="104"/>
      <c r="BL136" s="104"/>
      <c r="BM136" s="104"/>
      <c r="BN136" s="104" t="s">
        <v>1416</v>
      </c>
      <c r="BO136" s="104" t="s">
        <v>1598</v>
      </c>
      <c r="BP136" s="104" t="s">
        <v>1514</v>
      </c>
      <c r="BQ136" s="104" t="s">
        <v>1515</v>
      </c>
      <c r="BR136" s="104" t="s">
        <v>1516</v>
      </c>
      <c r="BS136" s="104" t="s">
        <v>1517</v>
      </c>
      <c r="BT136" s="55" t="s">
        <v>1518</v>
      </c>
    </row>
    <row r="137" spans="1:77" ht="73.5" customHeight="1" outlineLevel="1" x14ac:dyDescent="0.25">
      <c r="A137" s="106"/>
      <c r="B137" s="59">
        <v>2</v>
      </c>
      <c r="C137" s="104" t="s">
        <v>1425</v>
      </c>
      <c r="D137" s="104" t="s">
        <v>287</v>
      </c>
      <c r="E137" s="104" t="s">
        <v>196</v>
      </c>
      <c r="F137" s="104">
        <v>358442</v>
      </c>
      <c r="G137" s="104">
        <v>350901</v>
      </c>
      <c r="H137" s="104">
        <v>345356</v>
      </c>
      <c r="I137" s="104">
        <f t="shared" si="202"/>
        <v>5545</v>
      </c>
      <c r="J137" s="104">
        <v>1</v>
      </c>
      <c r="K137" s="104">
        <v>1</v>
      </c>
      <c r="L137" s="104">
        <v>1</v>
      </c>
      <c r="M137" s="104">
        <v>255555</v>
      </c>
      <c r="N137" s="104">
        <f t="shared" ref="N137:N147" si="208">AC137+AI137</f>
        <v>89801.111111111109</v>
      </c>
      <c r="O137" s="104">
        <v>85811</v>
      </c>
      <c r="P137" s="104">
        <v>1</v>
      </c>
      <c r="Q137" s="26">
        <v>85811</v>
      </c>
      <c r="R137" s="104">
        <v>1</v>
      </c>
      <c r="S137" s="104">
        <f t="shared" si="138"/>
        <v>4990</v>
      </c>
      <c r="T137" s="104"/>
      <c r="U137" s="26">
        <f t="shared" si="203"/>
        <v>80821</v>
      </c>
      <c r="V137" s="113">
        <f t="shared" si="203"/>
        <v>1</v>
      </c>
      <c r="W137" s="113">
        <v>80821</v>
      </c>
      <c r="X137" s="113">
        <f t="shared" si="204"/>
        <v>1</v>
      </c>
      <c r="Y137" s="113"/>
      <c r="Z137" s="113">
        <f t="shared" si="205"/>
        <v>0</v>
      </c>
      <c r="AA137" s="118">
        <v>0</v>
      </c>
      <c r="AB137" s="122"/>
      <c r="AC137" s="26">
        <f t="shared" si="142"/>
        <v>80821</v>
      </c>
      <c r="AD137" s="104">
        <f t="shared" si="142"/>
        <v>1</v>
      </c>
      <c r="AE137" s="104">
        <v>80821</v>
      </c>
      <c r="AF137" s="104">
        <f t="shared" si="206"/>
        <v>1</v>
      </c>
      <c r="AG137" s="104"/>
      <c r="AH137" s="104">
        <f t="shared" si="207"/>
        <v>0</v>
      </c>
      <c r="AI137" s="104">
        <f t="shared" ref="AI137:AI147" si="209">AC137/0.9*0.1</f>
        <v>8980.1111111111113</v>
      </c>
      <c r="AJ137" s="104">
        <v>1</v>
      </c>
      <c r="AK137" s="104"/>
      <c r="AL137" s="104">
        <v>0</v>
      </c>
      <c r="AM137" s="104">
        <v>0</v>
      </c>
      <c r="AN137" s="104">
        <f t="shared" si="145"/>
        <v>0</v>
      </c>
      <c r="AO137" s="104"/>
      <c r="AP137" s="113">
        <f t="shared" ref="AP137:AP147" si="210">U137-AC137</f>
        <v>0</v>
      </c>
      <c r="AQ137" s="113"/>
      <c r="AR137" s="34">
        <f t="shared" si="146"/>
        <v>0</v>
      </c>
      <c r="AS137" s="10">
        <f t="shared" si="146"/>
        <v>0</v>
      </c>
      <c r="AT137" s="10"/>
      <c r="AU137" s="10">
        <f t="shared" si="147"/>
        <v>0</v>
      </c>
      <c r="AV137" s="10"/>
      <c r="AW137" s="10">
        <f t="shared" si="154"/>
        <v>0</v>
      </c>
      <c r="AX137" s="10"/>
      <c r="AY137" s="10"/>
      <c r="AZ137" s="10"/>
      <c r="BA137" s="10">
        <v>0</v>
      </c>
      <c r="BB137" s="10">
        <v>0</v>
      </c>
      <c r="BC137" s="10">
        <f t="shared" si="135"/>
        <v>0</v>
      </c>
      <c r="BD137" s="10"/>
      <c r="BE137" s="26">
        <f t="shared" si="148"/>
        <v>0</v>
      </c>
      <c r="BF137" s="104">
        <f t="shared" si="148"/>
        <v>0</v>
      </c>
      <c r="BG137" s="104"/>
      <c r="BH137" s="104">
        <f t="shared" si="149"/>
        <v>0</v>
      </c>
      <c r="BI137" s="104"/>
      <c r="BJ137" s="104">
        <f t="shared" si="150"/>
        <v>0</v>
      </c>
      <c r="BK137" s="104"/>
      <c r="BL137" s="104"/>
      <c r="BM137" s="104"/>
      <c r="BN137" s="104" t="s">
        <v>1417</v>
      </c>
      <c r="BO137" s="104" t="s">
        <v>1598</v>
      </c>
      <c r="BP137" s="104" t="s">
        <v>1519</v>
      </c>
      <c r="BQ137" s="104" t="s">
        <v>1520</v>
      </c>
      <c r="BR137" s="104" t="s">
        <v>1521</v>
      </c>
      <c r="BS137" s="104" t="s">
        <v>1522</v>
      </c>
      <c r="BT137" s="55" t="s">
        <v>1523</v>
      </c>
    </row>
    <row r="138" spans="1:77" ht="46.5" customHeight="1" outlineLevel="1" x14ac:dyDescent="0.25">
      <c r="A138" s="106"/>
      <c r="B138" s="59">
        <v>3</v>
      </c>
      <c r="C138" s="104" t="s">
        <v>288</v>
      </c>
      <c r="D138" s="104" t="s">
        <v>1426</v>
      </c>
      <c r="E138" s="104" t="s">
        <v>196</v>
      </c>
      <c r="F138" s="104">
        <v>498794</v>
      </c>
      <c r="G138" s="104">
        <v>488778</v>
      </c>
      <c r="H138" s="104">
        <v>482090</v>
      </c>
      <c r="I138" s="104">
        <f t="shared" si="202"/>
        <v>6688</v>
      </c>
      <c r="J138" s="104">
        <v>1</v>
      </c>
      <c r="K138" s="104">
        <v>1</v>
      </c>
      <c r="L138" s="104"/>
      <c r="M138" s="104">
        <v>355556</v>
      </c>
      <c r="N138" s="104">
        <f t="shared" si="208"/>
        <v>126534.44444444444</v>
      </c>
      <c r="O138" s="104">
        <v>119890</v>
      </c>
      <c r="P138" s="104">
        <v>1</v>
      </c>
      <c r="Q138" s="26">
        <v>119890</v>
      </c>
      <c r="R138" s="104">
        <v>1</v>
      </c>
      <c r="S138" s="104">
        <f t="shared" si="138"/>
        <v>6009</v>
      </c>
      <c r="T138" s="104"/>
      <c r="U138" s="26">
        <f t="shared" si="203"/>
        <v>113881</v>
      </c>
      <c r="V138" s="113">
        <f t="shared" si="203"/>
        <v>1</v>
      </c>
      <c r="W138" s="113">
        <v>113881</v>
      </c>
      <c r="X138" s="113">
        <f t="shared" si="204"/>
        <v>1</v>
      </c>
      <c r="Y138" s="113"/>
      <c r="Z138" s="113">
        <f t="shared" si="205"/>
        <v>0</v>
      </c>
      <c r="AA138" s="118">
        <v>0</v>
      </c>
      <c r="AB138" s="122"/>
      <c r="AC138" s="26">
        <f t="shared" si="142"/>
        <v>113881</v>
      </c>
      <c r="AD138" s="104">
        <f t="shared" si="142"/>
        <v>1</v>
      </c>
      <c r="AE138" s="104">
        <v>113881</v>
      </c>
      <c r="AF138" s="104">
        <f t="shared" si="206"/>
        <v>1</v>
      </c>
      <c r="AG138" s="104"/>
      <c r="AH138" s="104">
        <f t="shared" si="207"/>
        <v>0</v>
      </c>
      <c r="AI138" s="104">
        <f t="shared" si="209"/>
        <v>12653.444444444445</v>
      </c>
      <c r="AJ138" s="104">
        <v>1</v>
      </c>
      <c r="AK138" s="104"/>
      <c r="AL138" s="104">
        <v>0</v>
      </c>
      <c r="AM138" s="104">
        <v>0</v>
      </c>
      <c r="AN138" s="104">
        <f t="shared" si="145"/>
        <v>0</v>
      </c>
      <c r="AO138" s="104"/>
      <c r="AP138" s="113">
        <f t="shared" si="210"/>
        <v>0</v>
      </c>
      <c r="AQ138" s="113"/>
      <c r="AR138" s="34">
        <f t="shared" si="146"/>
        <v>0</v>
      </c>
      <c r="AS138" s="10">
        <f t="shared" si="146"/>
        <v>0</v>
      </c>
      <c r="AT138" s="10"/>
      <c r="AU138" s="10">
        <f t="shared" si="147"/>
        <v>0</v>
      </c>
      <c r="AV138" s="10"/>
      <c r="AW138" s="10">
        <f t="shared" si="154"/>
        <v>0</v>
      </c>
      <c r="AX138" s="10"/>
      <c r="AY138" s="10"/>
      <c r="AZ138" s="10"/>
      <c r="BA138" s="10">
        <v>0</v>
      </c>
      <c r="BB138" s="10">
        <v>0</v>
      </c>
      <c r="BC138" s="10">
        <f t="shared" si="135"/>
        <v>0</v>
      </c>
      <c r="BD138" s="10"/>
      <c r="BE138" s="26">
        <f t="shared" si="148"/>
        <v>0</v>
      </c>
      <c r="BF138" s="104">
        <f t="shared" si="148"/>
        <v>0</v>
      </c>
      <c r="BG138" s="104"/>
      <c r="BH138" s="104">
        <f t="shared" si="149"/>
        <v>0</v>
      </c>
      <c r="BI138" s="104"/>
      <c r="BJ138" s="104">
        <f t="shared" si="150"/>
        <v>0</v>
      </c>
      <c r="BK138" s="104"/>
      <c r="BL138" s="104"/>
      <c r="BM138" s="104"/>
      <c r="BN138" s="104" t="s">
        <v>1418</v>
      </c>
      <c r="BO138" s="104"/>
      <c r="BP138" s="104" t="s">
        <v>1524</v>
      </c>
      <c r="BQ138" s="104" t="s">
        <v>1525</v>
      </c>
      <c r="BR138" s="104" t="s">
        <v>1526</v>
      </c>
      <c r="BS138" s="104" t="s">
        <v>11</v>
      </c>
      <c r="BT138" s="55"/>
    </row>
    <row r="139" spans="1:77" ht="41.25" customHeight="1" outlineLevel="1" x14ac:dyDescent="0.25">
      <c r="A139" s="106"/>
      <c r="B139" s="59">
        <v>4</v>
      </c>
      <c r="C139" s="104" t="s">
        <v>290</v>
      </c>
      <c r="D139" s="104" t="s">
        <v>289</v>
      </c>
      <c r="E139" s="104" t="s">
        <v>196</v>
      </c>
      <c r="F139" s="104">
        <v>521717</v>
      </c>
      <c r="G139" s="104">
        <v>517254</v>
      </c>
      <c r="H139" s="104">
        <v>516026</v>
      </c>
      <c r="I139" s="104">
        <f t="shared" si="202"/>
        <v>1228</v>
      </c>
      <c r="J139" s="104">
        <v>1</v>
      </c>
      <c r="K139" s="104">
        <v>1</v>
      </c>
      <c r="L139" s="104"/>
      <c r="M139" s="104">
        <v>339846</v>
      </c>
      <c r="N139" s="104">
        <f t="shared" si="208"/>
        <v>176180</v>
      </c>
      <c r="O139" s="104">
        <v>159667</v>
      </c>
      <c r="P139" s="104">
        <v>1</v>
      </c>
      <c r="Q139" s="26">
        <v>159667</v>
      </c>
      <c r="R139" s="104">
        <v>1</v>
      </c>
      <c r="S139" s="104">
        <f t="shared" si="138"/>
        <v>1105</v>
      </c>
      <c r="T139" s="104"/>
      <c r="U139" s="26">
        <f t="shared" si="203"/>
        <v>158562</v>
      </c>
      <c r="V139" s="113">
        <f t="shared" si="203"/>
        <v>1</v>
      </c>
      <c r="W139" s="113">
        <v>158562</v>
      </c>
      <c r="X139" s="113">
        <f t="shared" si="204"/>
        <v>1</v>
      </c>
      <c r="Y139" s="113"/>
      <c r="Z139" s="113">
        <f t="shared" si="205"/>
        <v>0</v>
      </c>
      <c r="AA139" s="118">
        <v>0</v>
      </c>
      <c r="AB139" s="122"/>
      <c r="AC139" s="26">
        <f t="shared" si="142"/>
        <v>158562</v>
      </c>
      <c r="AD139" s="104">
        <f t="shared" si="142"/>
        <v>1</v>
      </c>
      <c r="AE139" s="104">
        <v>158562</v>
      </c>
      <c r="AF139" s="104">
        <f t="shared" si="206"/>
        <v>1</v>
      </c>
      <c r="AG139" s="104"/>
      <c r="AH139" s="104">
        <f t="shared" si="207"/>
        <v>0</v>
      </c>
      <c r="AI139" s="104">
        <f t="shared" si="209"/>
        <v>17618</v>
      </c>
      <c r="AJ139" s="104">
        <v>1</v>
      </c>
      <c r="AK139" s="104"/>
      <c r="AL139" s="104">
        <v>0</v>
      </c>
      <c r="AM139" s="104">
        <v>0</v>
      </c>
      <c r="AN139" s="104">
        <f t="shared" si="145"/>
        <v>0</v>
      </c>
      <c r="AO139" s="104"/>
      <c r="AP139" s="113">
        <f t="shared" si="210"/>
        <v>0</v>
      </c>
      <c r="AQ139" s="113"/>
      <c r="AR139" s="34">
        <f t="shared" si="146"/>
        <v>0</v>
      </c>
      <c r="AS139" s="10">
        <f t="shared" si="146"/>
        <v>0</v>
      </c>
      <c r="AT139" s="10"/>
      <c r="AU139" s="10">
        <f t="shared" si="147"/>
        <v>0</v>
      </c>
      <c r="AV139" s="10"/>
      <c r="AW139" s="10">
        <f t="shared" si="154"/>
        <v>0</v>
      </c>
      <c r="AX139" s="10"/>
      <c r="AY139" s="10"/>
      <c r="AZ139" s="10"/>
      <c r="BA139" s="10">
        <v>0</v>
      </c>
      <c r="BB139" s="10">
        <v>0</v>
      </c>
      <c r="BC139" s="10">
        <f t="shared" si="135"/>
        <v>0</v>
      </c>
      <c r="BD139" s="10"/>
      <c r="BE139" s="26">
        <f t="shared" si="148"/>
        <v>0</v>
      </c>
      <c r="BF139" s="104">
        <f t="shared" si="148"/>
        <v>0</v>
      </c>
      <c r="BG139" s="104"/>
      <c r="BH139" s="104">
        <f t="shared" si="149"/>
        <v>0</v>
      </c>
      <c r="BI139" s="104"/>
      <c r="BJ139" s="104">
        <f t="shared" si="150"/>
        <v>0</v>
      </c>
      <c r="BK139" s="104"/>
      <c r="BL139" s="104"/>
      <c r="BM139" s="104"/>
      <c r="BN139" s="104" t="s">
        <v>1419</v>
      </c>
      <c r="BO139" s="104"/>
      <c r="BP139" s="104" t="s">
        <v>1527</v>
      </c>
      <c r="BQ139" s="104" t="s">
        <v>1528</v>
      </c>
      <c r="BR139" s="104" t="s">
        <v>1529</v>
      </c>
      <c r="BS139" s="104" t="s">
        <v>11</v>
      </c>
      <c r="BT139" s="55"/>
    </row>
    <row r="140" spans="1:77" ht="59.25" customHeight="1" outlineLevel="1" x14ac:dyDescent="0.25">
      <c r="A140" s="106"/>
      <c r="B140" s="59">
        <v>5</v>
      </c>
      <c r="C140" s="104" t="s">
        <v>291</v>
      </c>
      <c r="D140" s="104" t="s">
        <v>1427</v>
      </c>
      <c r="E140" s="104" t="s">
        <v>196</v>
      </c>
      <c r="F140" s="104">
        <v>381211</v>
      </c>
      <c r="G140" s="104">
        <v>375313</v>
      </c>
      <c r="H140" s="67">
        <v>373116</v>
      </c>
      <c r="I140" s="104">
        <f t="shared" si="202"/>
        <v>2197</v>
      </c>
      <c r="J140" s="104">
        <v>1</v>
      </c>
      <c r="K140" s="104">
        <v>1</v>
      </c>
      <c r="L140" s="104">
        <v>1</v>
      </c>
      <c r="M140" s="104">
        <v>266667</v>
      </c>
      <c r="N140" s="104">
        <f t="shared" si="208"/>
        <v>106448.88888888889</v>
      </c>
      <c r="O140" s="104">
        <v>97781</v>
      </c>
      <c r="P140" s="104">
        <v>1</v>
      </c>
      <c r="Q140" s="26">
        <v>97781</v>
      </c>
      <c r="R140" s="104">
        <v>1</v>
      </c>
      <c r="S140" s="104">
        <f t="shared" si="138"/>
        <v>1977</v>
      </c>
      <c r="T140" s="104"/>
      <c r="U140" s="26">
        <f t="shared" si="203"/>
        <v>95804</v>
      </c>
      <c r="V140" s="113">
        <f t="shared" si="203"/>
        <v>1</v>
      </c>
      <c r="W140" s="113">
        <v>95804</v>
      </c>
      <c r="X140" s="113">
        <f t="shared" si="204"/>
        <v>1</v>
      </c>
      <c r="Y140" s="113"/>
      <c r="Z140" s="113">
        <f t="shared" si="205"/>
        <v>0</v>
      </c>
      <c r="AA140" s="118">
        <v>0</v>
      </c>
      <c r="AB140" s="122"/>
      <c r="AC140" s="26">
        <f t="shared" si="142"/>
        <v>95804</v>
      </c>
      <c r="AD140" s="104">
        <f t="shared" si="142"/>
        <v>1</v>
      </c>
      <c r="AE140" s="104">
        <v>95804</v>
      </c>
      <c r="AF140" s="104">
        <f t="shared" si="206"/>
        <v>1</v>
      </c>
      <c r="AG140" s="104"/>
      <c r="AH140" s="104">
        <f t="shared" si="207"/>
        <v>0</v>
      </c>
      <c r="AI140" s="104">
        <f t="shared" si="209"/>
        <v>10644.888888888891</v>
      </c>
      <c r="AJ140" s="104">
        <v>1</v>
      </c>
      <c r="AK140" s="104"/>
      <c r="AL140" s="104">
        <v>0</v>
      </c>
      <c r="AM140" s="104">
        <v>0</v>
      </c>
      <c r="AN140" s="104">
        <f t="shared" si="145"/>
        <v>0</v>
      </c>
      <c r="AO140" s="104"/>
      <c r="AP140" s="113">
        <f t="shared" si="210"/>
        <v>0</v>
      </c>
      <c r="AQ140" s="113"/>
      <c r="AR140" s="34">
        <f t="shared" si="146"/>
        <v>0</v>
      </c>
      <c r="AS140" s="10">
        <f t="shared" si="146"/>
        <v>0</v>
      </c>
      <c r="AT140" s="10"/>
      <c r="AU140" s="10">
        <f t="shared" si="147"/>
        <v>0</v>
      </c>
      <c r="AV140" s="10"/>
      <c r="AW140" s="10">
        <f t="shared" si="154"/>
        <v>0</v>
      </c>
      <c r="AX140" s="10"/>
      <c r="AY140" s="10"/>
      <c r="AZ140" s="10"/>
      <c r="BA140" s="10">
        <v>0</v>
      </c>
      <c r="BB140" s="10">
        <v>0</v>
      </c>
      <c r="BC140" s="10">
        <f t="shared" si="135"/>
        <v>0</v>
      </c>
      <c r="BD140" s="10"/>
      <c r="BE140" s="26">
        <f t="shared" si="148"/>
        <v>0</v>
      </c>
      <c r="BF140" s="104">
        <f t="shared" si="148"/>
        <v>0</v>
      </c>
      <c r="BG140" s="104"/>
      <c r="BH140" s="104">
        <f t="shared" si="149"/>
        <v>0</v>
      </c>
      <c r="BI140" s="104"/>
      <c r="BJ140" s="104">
        <f t="shared" si="150"/>
        <v>0</v>
      </c>
      <c r="BK140" s="104"/>
      <c r="BL140" s="104"/>
      <c r="BM140" s="104"/>
      <c r="BN140" s="104" t="s">
        <v>1420</v>
      </c>
      <c r="BO140" s="104" t="s">
        <v>1421</v>
      </c>
      <c r="BP140" s="104" t="s">
        <v>1530</v>
      </c>
      <c r="BQ140" s="104" t="s">
        <v>1531</v>
      </c>
      <c r="BR140" s="104" t="s">
        <v>1532</v>
      </c>
      <c r="BS140" s="104" t="s">
        <v>11</v>
      </c>
      <c r="BT140" s="55"/>
    </row>
    <row r="141" spans="1:77" ht="59.25" customHeight="1" outlineLevel="1" x14ac:dyDescent="0.25">
      <c r="A141" s="106"/>
      <c r="B141" s="59">
        <v>6</v>
      </c>
      <c r="C141" s="104" t="s">
        <v>1428</v>
      </c>
      <c r="D141" s="104" t="s">
        <v>292</v>
      </c>
      <c r="E141" s="104" t="s">
        <v>9</v>
      </c>
      <c r="F141" s="104">
        <v>242234</v>
      </c>
      <c r="G141" s="104">
        <v>233686</v>
      </c>
      <c r="H141" s="104">
        <v>232868</v>
      </c>
      <c r="I141" s="104">
        <f t="shared" si="202"/>
        <v>818</v>
      </c>
      <c r="J141" s="104">
        <v>1</v>
      </c>
      <c r="K141" s="104">
        <v>1</v>
      </c>
      <c r="L141" s="104">
        <v>1</v>
      </c>
      <c r="M141" s="104">
        <v>140812</v>
      </c>
      <c r="N141" s="104">
        <f t="shared" si="208"/>
        <v>92055.555555555562</v>
      </c>
      <c r="O141" s="104">
        <v>52373</v>
      </c>
      <c r="P141" s="104">
        <v>1</v>
      </c>
      <c r="Q141" s="26">
        <v>83586</v>
      </c>
      <c r="R141" s="104">
        <v>1</v>
      </c>
      <c r="S141" s="104">
        <f t="shared" si="138"/>
        <v>736</v>
      </c>
      <c r="T141" s="104"/>
      <c r="U141" s="26">
        <f t="shared" si="203"/>
        <v>82850</v>
      </c>
      <c r="V141" s="113">
        <f t="shared" si="203"/>
        <v>1</v>
      </c>
      <c r="W141" s="113">
        <v>82850</v>
      </c>
      <c r="X141" s="113">
        <f t="shared" si="204"/>
        <v>1</v>
      </c>
      <c r="Y141" s="113"/>
      <c r="Z141" s="113">
        <f t="shared" si="205"/>
        <v>0</v>
      </c>
      <c r="AA141" s="118">
        <v>0</v>
      </c>
      <c r="AB141" s="122"/>
      <c r="AC141" s="26">
        <f t="shared" si="142"/>
        <v>82850</v>
      </c>
      <c r="AD141" s="104">
        <f t="shared" si="142"/>
        <v>1</v>
      </c>
      <c r="AE141" s="104">
        <v>82850</v>
      </c>
      <c r="AF141" s="104">
        <f t="shared" si="206"/>
        <v>1</v>
      </c>
      <c r="AG141" s="104"/>
      <c r="AH141" s="104">
        <f t="shared" si="207"/>
        <v>0</v>
      </c>
      <c r="AI141" s="104">
        <f t="shared" si="209"/>
        <v>9205.5555555555547</v>
      </c>
      <c r="AJ141" s="104">
        <v>1</v>
      </c>
      <c r="AK141" s="104"/>
      <c r="AL141" s="104">
        <v>0</v>
      </c>
      <c r="AM141" s="104">
        <v>0</v>
      </c>
      <c r="AN141" s="104">
        <f t="shared" si="145"/>
        <v>0</v>
      </c>
      <c r="AO141" s="104"/>
      <c r="AP141" s="113">
        <f t="shared" si="210"/>
        <v>0</v>
      </c>
      <c r="AQ141" s="113"/>
      <c r="AR141" s="34">
        <f t="shared" si="146"/>
        <v>0</v>
      </c>
      <c r="AS141" s="10">
        <f t="shared" si="146"/>
        <v>0</v>
      </c>
      <c r="AT141" s="10"/>
      <c r="AU141" s="10">
        <f t="shared" si="147"/>
        <v>0</v>
      </c>
      <c r="AV141" s="10"/>
      <c r="AW141" s="10">
        <f t="shared" si="154"/>
        <v>0</v>
      </c>
      <c r="AX141" s="10"/>
      <c r="AY141" s="10"/>
      <c r="AZ141" s="10"/>
      <c r="BA141" s="10">
        <v>0</v>
      </c>
      <c r="BB141" s="10">
        <v>0</v>
      </c>
      <c r="BC141" s="10">
        <f t="shared" si="135"/>
        <v>0</v>
      </c>
      <c r="BD141" s="10"/>
      <c r="BE141" s="26">
        <f t="shared" si="148"/>
        <v>0</v>
      </c>
      <c r="BF141" s="104">
        <f t="shared" si="148"/>
        <v>0</v>
      </c>
      <c r="BG141" s="104"/>
      <c r="BH141" s="104">
        <f t="shared" si="149"/>
        <v>0</v>
      </c>
      <c r="BI141" s="104"/>
      <c r="BJ141" s="104">
        <f t="shared" si="150"/>
        <v>0</v>
      </c>
      <c r="BK141" s="104"/>
      <c r="BL141" s="104"/>
      <c r="BM141" s="104"/>
      <c r="BN141" s="104" t="s">
        <v>1422</v>
      </c>
      <c r="BO141" s="104"/>
      <c r="BP141" s="104" t="s">
        <v>1599</v>
      </c>
      <c r="BQ141" s="41" t="s">
        <v>1533</v>
      </c>
      <c r="BR141" s="104" t="s">
        <v>1600</v>
      </c>
      <c r="BS141" s="104" t="s">
        <v>11</v>
      </c>
      <c r="BT141" s="55" t="s">
        <v>11</v>
      </c>
    </row>
    <row r="142" spans="1:77" ht="45" customHeight="1" outlineLevel="1" x14ac:dyDescent="0.25">
      <c r="A142" s="106"/>
      <c r="B142" s="59">
        <v>7</v>
      </c>
      <c r="C142" s="104" t="s">
        <v>293</v>
      </c>
      <c r="D142" s="104" t="s">
        <v>294</v>
      </c>
      <c r="E142" s="104" t="s">
        <v>168</v>
      </c>
      <c r="F142" s="104">
        <v>2015538</v>
      </c>
      <c r="G142" s="104">
        <v>1997211</v>
      </c>
      <c r="H142" s="104">
        <v>1987976</v>
      </c>
      <c r="I142" s="104">
        <f t="shared" si="202"/>
        <v>9235</v>
      </c>
      <c r="J142" s="104">
        <v>1</v>
      </c>
      <c r="K142" s="104"/>
      <c r="L142" s="104"/>
      <c r="M142" s="104">
        <v>270260</v>
      </c>
      <c r="N142" s="104">
        <f t="shared" si="208"/>
        <v>891240</v>
      </c>
      <c r="O142" s="104">
        <v>798745</v>
      </c>
      <c r="P142" s="104">
        <v>1</v>
      </c>
      <c r="Q142" s="26">
        <v>748521</v>
      </c>
      <c r="R142" s="104">
        <v>1</v>
      </c>
      <c r="S142" s="104">
        <f t="shared" si="138"/>
        <v>-53595</v>
      </c>
      <c r="T142" s="104"/>
      <c r="U142" s="26">
        <f t="shared" si="203"/>
        <v>769712</v>
      </c>
      <c r="V142" s="113">
        <f t="shared" si="203"/>
        <v>1</v>
      </c>
      <c r="W142" s="113">
        <f>748521+21191</f>
        <v>769712</v>
      </c>
      <c r="X142" s="113">
        <f t="shared" si="204"/>
        <v>1</v>
      </c>
      <c r="Y142" s="113"/>
      <c r="Z142" s="113">
        <f t="shared" si="205"/>
        <v>0</v>
      </c>
      <c r="AA142" s="118"/>
      <c r="AB142" s="122">
        <v>32404</v>
      </c>
      <c r="AC142" s="26">
        <f t="shared" si="142"/>
        <v>802116</v>
      </c>
      <c r="AD142" s="104">
        <f t="shared" si="142"/>
        <v>1</v>
      </c>
      <c r="AE142" s="104">
        <f>748521+21191+32404</f>
        <v>802116</v>
      </c>
      <c r="AF142" s="104">
        <f t="shared" si="206"/>
        <v>1</v>
      </c>
      <c r="AG142" s="104"/>
      <c r="AH142" s="104">
        <f t="shared" si="207"/>
        <v>0</v>
      </c>
      <c r="AI142" s="104">
        <f t="shared" si="209"/>
        <v>89124</v>
      </c>
      <c r="AJ142" s="104"/>
      <c r="AK142" s="104">
        <v>1</v>
      </c>
      <c r="AL142" s="104">
        <v>841276</v>
      </c>
      <c r="AM142" s="104">
        <v>1</v>
      </c>
      <c r="AN142" s="104">
        <f t="shared" si="145"/>
        <v>65044</v>
      </c>
      <c r="AO142" s="104"/>
      <c r="AP142" s="113">
        <f t="shared" si="210"/>
        <v>-32404</v>
      </c>
      <c r="AQ142" s="113"/>
      <c r="AR142" s="34">
        <f t="shared" si="146"/>
        <v>776232</v>
      </c>
      <c r="AS142" s="10">
        <f t="shared" si="146"/>
        <v>1</v>
      </c>
      <c r="AT142" s="10">
        <f>743828+32404</f>
        <v>776232</v>
      </c>
      <c r="AU142" s="10">
        <f t="shared" si="147"/>
        <v>1</v>
      </c>
      <c r="AV142" s="10"/>
      <c r="AW142" s="10">
        <f t="shared" si="154"/>
        <v>0</v>
      </c>
      <c r="AX142" s="10">
        <f>AR142/0.9*0.1</f>
        <v>86248</v>
      </c>
      <c r="AY142" s="10">
        <v>1</v>
      </c>
      <c r="AZ142" s="10"/>
      <c r="BA142" s="10">
        <v>0</v>
      </c>
      <c r="BB142" s="10">
        <v>0</v>
      </c>
      <c r="BC142" s="10">
        <f t="shared" si="135"/>
        <v>0</v>
      </c>
      <c r="BD142" s="10"/>
      <c r="BE142" s="26">
        <f t="shared" si="148"/>
        <v>0</v>
      </c>
      <c r="BF142" s="104">
        <f t="shared" si="148"/>
        <v>0</v>
      </c>
      <c r="BG142" s="104"/>
      <c r="BH142" s="104">
        <f t="shared" si="149"/>
        <v>0</v>
      </c>
      <c r="BI142" s="104"/>
      <c r="BJ142" s="104">
        <f t="shared" si="150"/>
        <v>0</v>
      </c>
      <c r="BK142" s="104"/>
      <c r="BL142" s="104"/>
      <c r="BM142" s="104"/>
      <c r="BN142" s="104" t="s">
        <v>906</v>
      </c>
      <c r="BO142" s="104"/>
      <c r="BP142" s="104" t="s">
        <v>1068</v>
      </c>
      <c r="BQ142" s="104" t="s">
        <v>1070</v>
      </c>
      <c r="BR142" s="104" t="s">
        <v>1069</v>
      </c>
      <c r="BS142" s="104" t="s">
        <v>11</v>
      </c>
      <c r="BT142" s="55" t="s">
        <v>11</v>
      </c>
    </row>
    <row r="143" spans="1:77" ht="57.75" customHeight="1" outlineLevel="1" x14ac:dyDescent="0.25">
      <c r="A143" s="106"/>
      <c r="B143" s="59">
        <v>8</v>
      </c>
      <c r="C143" s="104" t="s">
        <v>1774</v>
      </c>
      <c r="D143" s="104" t="s">
        <v>1775</v>
      </c>
      <c r="E143" s="104">
        <v>2016</v>
      </c>
      <c r="F143" s="104">
        <v>323868</v>
      </c>
      <c r="G143" s="104">
        <v>318967</v>
      </c>
      <c r="H143" s="104"/>
      <c r="I143" s="104"/>
      <c r="J143" s="104"/>
      <c r="K143" s="104"/>
      <c r="L143" s="104"/>
      <c r="M143" s="104"/>
      <c r="N143" s="104"/>
      <c r="O143" s="104"/>
      <c r="P143" s="104"/>
      <c r="Q143" s="26"/>
      <c r="R143" s="104"/>
      <c r="S143" s="104">
        <f t="shared" si="138"/>
        <v>0</v>
      </c>
      <c r="T143" s="104"/>
      <c r="U143" s="26"/>
      <c r="V143" s="113"/>
      <c r="W143" s="113"/>
      <c r="X143" s="113"/>
      <c r="Y143" s="113"/>
      <c r="Z143" s="113"/>
      <c r="AA143" s="118">
        <v>0</v>
      </c>
      <c r="AB143" s="122"/>
      <c r="AC143" s="26"/>
      <c r="AD143" s="104"/>
      <c r="AE143" s="104"/>
      <c r="AF143" s="104"/>
      <c r="AG143" s="104"/>
      <c r="AH143" s="104"/>
      <c r="AI143" s="104">
        <f t="shared" si="209"/>
        <v>0</v>
      </c>
      <c r="AJ143" s="104"/>
      <c r="AK143" s="104"/>
      <c r="AL143" s="104"/>
      <c r="AM143" s="104"/>
      <c r="AN143" s="104">
        <f t="shared" si="145"/>
        <v>-287070</v>
      </c>
      <c r="AO143" s="104"/>
      <c r="AP143" s="113">
        <f t="shared" si="210"/>
        <v>0</v>
      </c>
      <c r="AQ143" s="113"/>
      <c r="AR143" s="34">
        <f t="shared" si="146"/>
        <v>287070</v>
      </c>
      <c r="AS143" s="10">
        <f t="shared" si="146"/>
        <v>1</v>
      </c>
      <c r="AT143" s="10"/>
      <c r="AU143" s="10"/>
      <c r="AV143" s="10">
        <v>287070</v>
      </c>
      <c r="AW143" s="10">
        <v>1</v>
      </c>
      <c r="AX143" s="10">
        <f t="shared" ref="AX143:AX147" si="211">AR143/0.9*0.1</f>
        <v>31896.666666666672</v>
      </c>
      <c r="AY143" s="10">
        <v>1</v>
      </c>
      <c r="AZ143" s="10"/>
      <c r="BA143" s="10"/>
      <c r="BB143" s="10"/>
      <c r="BC143" s="10">
        <f t="shared" si="135"/>
        <v>0</v>
      </c>
      <c r="BD143" s="10"/>
      <c r="BE143" s="26"/>
      <c r="BF143" s="104"/>
      <c r="BG143" s="104"/>
      <c r="BH143" s="104"/>
      <c r="BI143" s="104"/>
      <c r="BJ143" s="104"/>
      <c r="BK143" s="104"/>
      <c r="BL143" s="104"/>
      <c r="BM143" s="104"/>
      <c r="BN143" s="104" t="s">
        <v>1776</v>
      </c>
      <c r="BO143" s="104" t="s">
        <v>1780</v>
      </c>
      <c r="BP143" s="104" t="s">
        <v>1779</v>
      </c>
      <c r="BQ143" s="104" t="s">
        <v>1777</v>
      </c>
      <c r="BR143" s="104" t="s">
        <v>1778</v>
      </c>
      <c r="BS143" s="104" t="s">
        <v>11</v>
      </c>
      <c r="BT143" s="99" t="s">
        <v>11</v>
      </c>
    </row>
    <row r="144" spans="1:77" ht="72" customHeight="1" outlineLevel="1" x14ac:dyDescent="0.25">
      <c r="A144" s="106"/>
      <c r="B144" s="59">
        <v>9</v>
      </c>
      <c r="C144" s="104" t="s">
        <v>29</v>
      </c>
      <c r="D144" s="104" t="s">
        <v>1145</v>
      </c>
      <c r="E144" s="104" t="s">
        <v>10</v>
      </c>
      <c r="F144" s="104">
        <v>992381.92</v>
      </c>
      <c r="G144" s="104">
        <v>962822</v>
      </c>
      <c r="H144" s="104"/>
      <c r="I144" s="104"/>
      <c r="J144" s="104"/>
      <c r="K144" s="104"/>
      <c r="L144" s="104"/>
      <c r="M144" s="104">
        <v>0</v>
      </c>
      <c r="N144" s="104">
        <f t="shared" si="208"/>
        <v>0</v>
      </c>
      <c r="O144" s="104">
        <v>481411</v>
      </c>
      <c r="P144" s="104">
        <v>1</v>
      </c>
      <c r="Q144" s="26">
        <v>120000</v>
      </c>
      <c r="R144" s="104">
        <v>1</v>
      </c>
      <c r="S144" s="104">
        <f t="shared" si="138"/>
        <v>120000</v>
      </c>
      <c r="T144" s="104"/>
      <c r="U144" s="26">
        <f t="shared" si="203"/>
        <v>120000</v>
      </c>
      <c r="V144" s="113">
        <f t="shared" si="203"/>
        <v>1</v>
      </c>
      <c r="W144" s="113"/>
      <c r="X144" s="113">
        <f t="shared" si="204"/>
        <v>0</v>
      </c>
      <c r="Y144" s="113">
        <v>120000</v>
      </c>
      <c r="Z144" s="113">
        <f t="shared" si="205"/>
        <v>1</v>
      </c>
      <c r="AA144" s="118">
        <v>-120000</v>
      </c>
      <c r="AB144" s="122"/>
      <c r="AC144" s="26">
        <f t="shared" si="142"/>
        <v>0</v>
      </c>
      <c r="AD144" s="104">
        <f t="shared" si="142"/>
        <v>0</v>
      </c>
      <c r="AE144" s="104"/>
      <c r="AF144" s="104">
        <f t="shared" si="206"/>
        <v>0</v>
      </c>
      <c r="AG144" s="104"/>
      <c r="AH144" s="104">
        <f t="shared" si="207"/>
        <v>0</v>
      </c>
      <c r="AI144" s="104">
        <f t="shared" si="209"/>
        <v>0</v>
      </c>
      <c r="AJ144" s="104"/>
      <c r="AK144" s="104">
        <v>1</v>
      </c>
      <c r="AL144" s="104">
        <v>746540</v>
      </c>
      <c r="AM144" s="104">
        <v>1</v>
      </c>
      <c r="AN144" s="104">
        <f t="shared" si="145"/>
        <v>-120000</v>
      </c>
      <c r="AO144" s="104"/>
      <c r="AP144" s="113">
        <f t="shared" si="210"/>
        <v>120000</v>
      </c>
      <c r="AQ144" s="113"/>
      <c r="AR144" s="34">
        <f t="shared" si="146"/>
        <v>866540</v>
      </c>
      <c r="AS144" s="10">
        <f t="shared" si="146"/>
        <v>1</v>
      </c>
      <c r="AT144" s="10"/>
      <c r="AU144" s="10">
        <f t="shared" si="147"/>
        <v>0</v>
      </c>
      <c r="AV144" s="10">
        <f>746540+120000</f>
        <v>866540</v>
      </c>
      <c r="AW144" s="10">
        <f t="shared" si="154"/>
        <v>1</v>
      </c>
      <c r="AX144" s="10">
        <f t="shared" si="211"/>
        <v>96282.222222222234</v>
      </c>
      <c r="AY144" s="10">
        <v>1</v>
      </c>
      <c r="AZ144" s="10"/>
      <c r="BA144" s="10">
        <v>0</v>
      </c>
      <c r="BB144" s="10">
        <v>0</v>
      </c>
      <c r="BC144" s="10">
        <f t="shared" si="135"/>
        <v>0</v>
      </c>
      <c r="BD144" s="10"/>
      <c r="BE144" s="26">
        <f t="shared" ref="BE144:BF174" si="212">BG144+BI144</f>
        <v>0</v>
      </c>
      <c r="BF144" s="104">
        <f t="shared" si="212"/>
        <v>0</v>
      </c>
      <c r="BG144" s="104">
        <v>0</v>
      </c>
      <c r="BH144" s="104">
        <f t="shared" ref="BH144:BH174" si="213">IF(BG144,1,0)</f>
        <v>0</v>
      </c>
      <c r="BI144" s="104">
        <v>0</v>
      </c>
      <c r="BJ144" s="104">
        <f t="shared" si="150"/>
        <v>0</v>
      </c>
      <c r="BK144" s="104"/>
      <c r="BL144" s="104"/>
      <c r="BM144" s="104"/>
      <c r="BN144" s="104" t="s">
        <v>30</v>
      </c>
      <c r="BO144" s="104" t="s">
        <v>31</v>
      </c>
      <c r="BP144" s="104" t="s">
        <v>32</v>
      </c>
      <c r="BQ144" s="104" t="s">
        <v>1146</v>
      </c>
      <c r="BR144" s="104" t="s">
        <v>33</v>
      </c>
      <c r="BS144" s="104" t="s">
        <v>11</v>
      </c>
      <c r="BT144" s="55" t="s">
        <v>11</v>
      </c>
    </row>
    <row r="145" spans="1:77" ht="44.25" customHeight="1" outlineLevel="1" x14ac:dyDescent="0.25">
      <c r="A145" s="106"/>
      <c r="B145" s="59">
        <v>10</v>
      </c>
      <c r="C145" s="104" t="s">
        <v>34</v>
      </c>
      <c r="D145" s="104" t="s">
        <v>35</v>
      </c>
      <c r="E145" s="104" t="s">
        <v>10</v>
      </c>
      <c r="F145" s="104">
        <v>1190886</v>
      </c>
      <c r="G145" s="104">
        <v>1144945</v>
      </c>
      <c r="H145" s="104"/>
      <c r="I145" s="104"/>
      <c r="J145" s="104"/>
      <c r="K145" s="104"/>
      <c r="L145" s="104"/>
      <c r="M145" s="104">
        <v>0</v>
      </c>
      <c r="N145" s="104">
        <f t="shared" si="208"/>
        <v>0</v>
      </c>
      <c r="O145" s="104">
        <v>558525</v>
      </c>
      <c r="P145" s="104">
        <v>1</v>
      </c>
      <c r="Q145" s="26">
        <v>312380</v>
      </c>
      <c r="R145" s="104">
        <v>1</v>
      </c>
      <c r="S145" s="104">
        <f t="shared" si="138"/>
        <v>312380</v>
      </c>
      <c r="T145" s="104"/>
      <c r="U145" s="26">
        <f t="shared" si="203"/>
        <v>312380</v>
      </c>
      <c r="V145" s="113">
        <f t="shared" si="203"/>
        <v>1</v>
      </c>
      <c r="W145" s="113"/>
      <c r="X145" s="113">
        <f t="shared" si="204"/>
        <v>0</v>
      </c>
      <c r="Y145" s="113">
        <v>312380</v>
      </c>
      <c r="Z145" s="113">
        <f t="shared" si="205"/>
        <v>1</v>
      </c>
      <c r="AA145" s="118">
        <v>-312380</v>
      </c>
      <c r="AB145" s="122"/>
      <c r="AC145" s="26">
        <f t="shared" si="142"/>
        <v>0</v>
      </c>
      <c r="AD145" s="104">
        <f t="shared" si="142"/>
        <v>0</v>
      </c>
      <c r="AE145" s="104"/>
      <c r="AF145" s="104">
        <f t="shared" si="206"/>
        <v>0</v>
      </c>
      <c r="AG145" s="104"/>
      <c r="AH145" s="104">
        <f t="shared" si="207"/>
        <v>0</v>
      </c>
      <c r="AI145" s="104">
        <f t="shared" si="209"/>
        <v>0</v>
      </c>
      <c r="AJ145" s="104"/>
      <c r="AK145" s="104">
        <v>1</v>
      </c>
      <c r="AL145" s="104">
        <v>1030451</v>
      </c>
      <c r="AM145" s="104">
        <v>1</v>
      </c>
      <c r="AN145" s="104">
        <f t="shared" si="145"/>
        <v>0</v>
      </c>
      <c r="AO145" s="104"/>
      <c r="AP145" s="113">
        <f t="shared" si="210"/>
        <v>312380</v>
      </c>
      <c r="AQ145" s="113"/>
      <c r="AR145" s="34">
        <f t="shared" si="146"/>
        <v>1030451</v>
      </c>
      <c r="AS145" s="10">
        <f t="shared" si="146"/>
        <v>1</v>
      </c>
      <c r="AT145" s="10"/>
      <c r="AU145" s="10">
        <f t="shared" si="147"/>
        <v>0</v>
      </c>
      <c r="AV145" s="10">
        <v>1030451</v>
      </c>
      <c r="AW145" s="10">
        <f t="shared" si="154"/>
        <v>1</v>
      </c>
      <c r="AX145" s="10">
        <f t="shared" si="211"/>
        <v>114494.55555555556</v>
      </c>
      <c r="AY145" s="10">
        <v>1</v>
      </c>
      <c r="AZ145" s="10"/>
      <c r="BA145" s="10">
        <v>0</v>
      </c>
      <c r="BB145" s="10">
        <v>0</v>
      </c>
      <c r="BC145" s="10">
        <f t="shared" si="135"/>
        <v>0</v>
      </c>
      <c r="BD145" s="10"/>
      <c r="BE145" s="26">
        <f t="shared" si="212"/>
        <v>0</v>
      </c>
      <c r="BF145" s="104">
        <f t="shared" si="212"/>
        <v>0</v>
      </c>
      <c r="BG145" s="104">
        <v>0</v>
      </c>
      <c r="BH145" s="104">
        <f t="shared" si="213"/>
        <v>0</v>
      </c>
      <c r="BI145" s="104">
        <v>0</v>
      </c>
      <c r="BJ145" s="104">
        <f t="shared" si="150"/>
        <v>0</v>
      </c>
      <c r="BK145" s="104"/>
      <c r="BL145" s="104"/>
      <c r="BM145" s="104"/>
      <c r="BN145" s="104" t="s">
        <v>36</v>
      </c>
      <c r="BO145" s="104" t="s">
        <v>37</v>
      </c>
      <c r="BP145" s="104" t="s">
        <v>38</v>
      </c>
      <c r="BQ145" s="104" t="s">
        <v>39</v>
      </c>
      <c r="BR145" s="104" t="s">
        <v>40</v>
      </c>
      <c r="BS145" s="104" t="s">
        <v>11</v>
      </c>
      <c r="BT145" s="55" t="s">
        <v>973</v>
      </c>
    </row>
    <row r="146" spans="1:77" ht="38.25" customHeight="1" outlineLevel="1" x14ac:dyDescent="0.25">
      <c r="A146" s="106"/>
      <c r="B146" s="59">
        <v>11</v>
      </c>
      <c r="C146" s="104" t="s">
        <v>1275</v>
      </c>
      <c r="D146" s="104" t="s">
        <v>41</v>
      </c>
      <c r="E146" s="104">
        <v>2016</v>
      </c>
      <c r="F146" s="104">
        <v>166392</v>
      </c>
      <c r="G146" s="104">
        <v>162642</v>
      </c>
      <c r="H146" s="104"/>
      <c r="I146" s="104"/>
      <c r="J146" s="104"/>
      <c r="K146" s="104"/>
      <c r="L146" s="104"/>
      <c r="M146" s="104">
        <v>0</v>
      </c>
      <c r="N146" s="104">
        <f t="shared" si="208"/>
        <v>0</v>
      </c>
      <c r="O146" s="104">
        <v>81146</v>
      </c>
      <c r="P146" s="104">
        <v>1</v>
      </c>
      <c r="Q146" s="26">
        <v>0</v>
      </c>
      <c r="R146" s="104">
        <v>0</v>
      </c>
      <c r="S146" s="104">
        <f t="shared" si="138"/>
        <v>0</v>
      </c>
      <c r="T146" s="104"/>
      <c r="U146" s="26">
        <f t="shared" si="203"/>
        <v>0</v>
      </c>
      <c r="V146" s="113">
        <f t="shared" si="203"/>
        <v>0</v>
      </c>
      <c r="W146" s="113"/>
      <c r="X146" s="113">
        <f t="shared" si="204"/>
        <v>0</v>
      </c>
      <c r="Y146" s="113"/>
      <c r="Z146" s="113">
        <f t="shared" si="205"/>
        <v>0</v>
      </c>
      <c r="AA146" s="118">
        <v>0</v>
      </c>
      <c r="AB146" s="122"/>
      <c r="AC146" s="26">
        <f t="shared" si="142"/>
        <v>0</v>
      </c>
      <c r="AD146" s="104">
        <f t="shared" si="142"/>
        <v>0</v>
      </c>
      <c r="AE146" s="104"/>
      <c r="AF146" s="104">
        <f t="shared" si="206"/>
        <v>0</v>
      </c>
      <c r="AG146" s="104"/>
      <c r="AH146" s="104">
        <f t="shared" si="207"/>
        <v>0</v>
      </c>
      <c r="AI146" s="104">
        <f t="shared" si="209"/>
        <v>0</v>
      </c>
      <c r="AJ146" s="104"/>
      <c r="AK146" s="104"/>
      <c r="AL146" s="104">
        <v>0</v>
      </c>
      <c r="AM146" s="104">
        <v>0</v>
      </c>
      <c r="AN146" s="104">
        <f t="shared" si="145"/>
        <v>-146378</v>
      </c>
      <c r="AO146" s="104"/>
      <c r="AP146" s="113">
        <f t="shared" si="210"/>
        <v>0</v>
      </c>
      <c r="AQ146" s="113"/>
      <c r="AR146" s="34">
        <f t="shared" si="146"/>
        <v>146378</v>
      </c>
      <c r="AS146" s="10">
        <f t="shared" si="146"/>
        <v>1</v>
      </c>
      <c r="AT146" s="10"/>
      <c r="AU146" s="10">
        <f t="shared" si="147"/>
        <v>0</v>
      </c>
      <c r="AV146" s="10">
        <v>146378</v>
      </c>
      <c r="AW146" s="10">
        <f t="shared" si="154"/>
        <v>1</v>
      </c>
      <c r="AX146" s="10">
        <f t="shared" si="211"/>
        <v>16264.222222222223</v>
      </c>
      <c r="AY146" s="10">
        <v>1</v>
      </c>
      <c r="AZ146" s="10"/>
      <c r="BA146" s="10">
        <v>0</v>
      </c>
      <c r="BB146" s="10">
        <v>0</v>
      </c>
      <c r="BC146" s="10">
        <f t="shared" si="135"/>
        <v>0</v>
      </c>
      <c r="BD146" s="10"/>
      <c r="BE146" s="26">
        <f t="shared" si="212"/>
        <v>0</v>
      </c>
      <c r="BF146" s="104">
        <f t="shared" si="212"/>
        <v>0</v>
      </c>
      <c r="BG146" s="104"/>
      <c r="BH146" s="104">
        <f t="shared" si="213"/>
        <v>0</v>
      </c>
      <c r="BI146" s="104"/>
      <c r="BJ146" s="104">
        <f t="shared" si="150"/>
        <v>0</v>
      </c>
      <c r="BK146" s="104"/>
      <c r="BL146" s="104"/>
      <c r="BM146" s="104"/>
      <c r="BN146" s="104" t="s">
        <v>42</v>
      </c>
      <c r="BO146" s="104" t="s">
        <v>43</v>
      </c>
      <c r="BP146" s="104" t="s">
        <v>1277</v>
      </c>
      <c r="BQ146" s="104" t="s">
        <v>44</v>
      </c>
      <c r="BR146" s="104" t="s">
        <v>974</v>
      </c>
      <c r="BS146" s="104" t="s">
        <v>11</v>
      </c>
      <c r="BT146" s="55" t="s">
        <v>973</v>
      </c>
    </row>
    <row r="147" spans="1:77" ht="42.75" customHeight="1" outlineLevel="1" x14ac:dyDescent="0.25">
      <c r="A147" s="106"/>
      <c r="B147" s="59">
        <v>12</v>
      </c>
      <c r="C147" s="104" t="s">
        <v>1276</v>
      </c>
      <c r="D147" s="104" t="s">
        <v>45</v>
      </c>
      <c r="E147" s="104">
        <v>2016</v>
      </c>
      <c r="F147" s="104">
        <v>189375</v>
      </c>
      <c r="G147" s="104">
        <v>184447</v>
      </c>
      <c r="H147" s="104"/>
      <c r="I147" s="104"/>
      <c r="J147" s="104"/>
      <c r="K147" s="104"/>
      <c r="L147" s="104"/>
      <c r="M147" s="104">
        <v>0</v>
      </c>
      <c r="N147" s="104">
        <f t="shared" si="208"/>
        <v>0</v>
      </c>
      <c r="O147" s="104">
        <v>92223</v>
      </c>
      <c r="P147" s="104">
        <v>1</v>
      </c>
      <c r="Q147" s="26">
        <v>0</v>
      </c>
      <c r="R147" s="104">
        <v>0</v>
      </c>
      <c r="S147" s="104">
        <f t="shared" si="138"/>
        <v>0</v>
      </c>
      <c r="T147" s="104"/>
      <c r="U147" s="26">
        <f t="shared" si="203"/>
        <v>0</v>
      </c>
      <c r="V147" s="113">
        <f t="shared" si="203"/>
        <v>0</v>
      </c>
      <c r="W147" s="113"/>
      <c r="X147" s="113">
        <f t="shared" si="204"/>
        <v>0</v>
      </c>
      <c r="Y147" s="113"/>
      <c r="Z147" s="113">
        <f t="shared" si="205"/>
        <v>0</v>
      </c>
      <c r="AA147" s="118">
        <v>0</v>
      </c>
      <c r="AB147" s="122"/>
      <c r="AC147" s="26">
        <f t="shared" si="142"/>
        <v>0</v>
      </c>
      <c r="AD147" s="104">
        <f t="shared" si="142"/>
        <v>0</v>
      </c>
      <c r="AE147" s="104"/>
      <c r="AF147" s="104">
        <f t="shared" si="206"/>
        <v>0</v>
      </c>
      <c r="AG147" s="104"/>
      <c r="AH147" s="104">
        <f t="shared" si="207"/>
        <v>0</v>
      </c>
      <c r="AI147" s="104">
        <f t="shared" si="209"/>
        <v>0</v>
      </c>
      <c r="AJ147" s="104"/>
      <c r="AK147" s="104"/>
      <c r="AL147" s="104">
        <v>0</v>
      </c>
      <c r="AM147" s="104">
        <v>0</v>
      </c>
      <c r="AN147" s="104">
        <f t="shared" si="145"/>
        <v>-166002</v>
      </c>
      <c r="AO147" s="104"/>
      <c r="AP147" s="113">
        <f t="shared" si="210"/>
        <v>0</v>
      </c>
      <c r="AQ147" s="113"/>
      <c r="AR147" s="34">
        <f t="shared" si="146"/>
        <v>166002</v>
      </c>
      <c r="AS147" s="10">
        <f t="shared" si="146"/>
        <v>1</v>
      </c>
      <c r="AT147" s="10"/>
      <c r="AU147" s="10">
        <f t="shared" si="147"/>
        <v>0</v>
      </c>
      <c r="AV147" s="10">
        <v>166002</v>
      </c>
      <c r="AW147" s="10">
        <f t="shared" si="154"/>
        <v>1</v>
      </c>
      <c r="AX147" s="10">
        <f t="shared" si="211"/>
        <v>18444.666666666668</v>
      </c>
      <c r="AY147" s="10">
        <v>1</v>
      </c>
      <c r="AZ147" s="10"/>
      <c r="BA147" s="10">
        <v>0</v>
      </c>
      <c r="BB147" s="10">
        <v>0</v>
      </c>
      <c r="BC147" s="10">
        <f t="shared" si="135"/>
        <v>0</v>
      </c>
      <c r="BD147" s="10"/>
      <c r="BE147" s="26">
        <f t="shared" si="212"/>
        <v>0</v>
      </c>
      <c r="BF147" s="104">
        <f t="shared" si="212"/>
        <v>0</v>
      </c>
      <c r="BG147" s="104"/>
      <c r="BH147" s="104">
        <f t="shared" si="213"/>
        <v>0</v>
      </c>
      <c r="BI147" s="104"/>
      <c r="BJ147" s="104">
        <f t="shared" si="150"/>
        <v>0</v>
      </c>
      <c r="BK147" s="104"/>
      <c r="BL147" s="104"/>
      <c r="BM147" s="104"/>
      <c r="BN147" s="104" t="s">
        <v>46</v>
      </c>
      <c r="BO147" s="104" t="s">
        <v>47</v>
      </c>
      <c r="BP147" s="104" t="s">
        <v>48</v>
      </c>
      <c r="BQ147" s="104" t="s">
        <v>1229</v>
      </c>
      <c r="BR147" s="104" t="s">
        <v>49</v>
      </c>
      <c r="BS147" s="104" t="s">
        <v>11</v>
      </c>
      <c r="BT147" s="55" t="s">
        <v>973</v>
      </c>
    </row>
    <row r="148" spans="1:77" s="35" customFormat="1" ht="11.25" customHeight="1" x14ac:dyDescent="0.25">
      <c r="A148" s="48"/>
      <c r="B148" s="60">
        <f>B149</f>
        <v>25</v>
      </c>
      <c r="C148" s="26" t="s">
        <v>537</v>
      </c>
      <c r="D148" s="26"/>
      <c r="E148" s="26"/>
      <c r="F148" s="27">
        <f>F149</f>
        <v>6975304.7400000002</v>
      </c>
      <c r="G148" s="27">
        <f t="shared" ref="G148:BT148" si="214">G149</f>
        <v>6808415.4299999997</v>
      </c>
      <c r="H148" s="27"/>
      <c r="I148" s="27"/>
      <c r="J148" s="27"/>
      <c r="K148" s="27"/>
      <c r="L148" s="27"/>
      <c r="M148" s="27">
        <f t="shared" si="214"/>
        <v>275466</v>
      </c>
      <c r="N148" s="27">
        <f t="shared" si="214"/>
        <v>826773.75</v>
      </c>
      <c r="O148" s="27">
        <v>4507312</v>
      </c>
      <c r="P148" s="27">
        <v>22</v>
      </c>
      <c r="Q148" s="27">
        <v>2822256</v>
      </c>
      <c r="R148" s="27">
        <v>17</v>
      </c>
      <c r="S148" s="27">
        <f t="shared" si="214"/>
        <v>2160837</v>
      </c>
      <c r="T148" s="27">
        <f t="shared" si="214"/>
        <v>0</v>
      </c>
      <c r="U148" s="27">
        <f t="shared" si="214"/>
        <v>3027233</v>
      </c>
      <c r="V148" s="27">
        <f t="shared" si="214"/>
        <v>18</v>
      </c>
      <c r="W148" s="27">
        <f t="shared" si="214"/>
        <v>661419</v>
      </c>
      <c r="X148" s="27">
        <f t="shared" si="214"/>
        <v>2</v>
      </c>
      <c r="Y148" s="27">
        <f t="shared" si="214"/>
        <v>2365814</v>
      </c>
      <c r="Z148" s="27">
        <f t="shared" si="214"/>
        <v>16</v>
      </c>
      <c r="AA148" s="27">
        <f t="shared" si="214"/>
        <v>-2365814</v>
      </c>
      <c r="AB148" s="27">
        <f t="shared" si="214"/>
        <v>0</v>
      </c>
      <c r="AC148" s="27">
        <f t="shared" si="214"/>
        <v>661419</v>
      </c>
      <c r="AD148" s="27">
        <f t="shared" si="214"/>
        <v>2</v>
      </c>
      <c r="AE148" s="27">
        <f t="shared" si="214"/>
        <v>661419</v>
      </c>
      <c r="AF148" s="27">
        <f t="shared" si="214"/>
        <v>2</v>
      </c>
      <c r="AG148" s="27">
        <f t="shared" si="214"/>
        <v>0</v>
      </c>
      <c r="AH148" s="27">
        <f t="shared" si="214"/>
        <v>0</v>
      </c>
      <c r="AI148" s="27">
        <f t="shared" si="214"/>
        <v>165354.75</v>
      </c>
      <c r="AJ148" s="69">
        <f t="shared" si="214"/>
        <v>14</v>
      </c>
      <c r="AK148" s="69">
        <f t="shared" si="214"/>
        <v>4</v>
      </c>
      <c r="AL148" s="69">
        <f t="shared" si="214"/>
        <v>1792808</v>
      </c>
      <c r="AM148" s="69">
        <f t="shared" si="214"/>
        <v>9</v>
      </c>
      <c r="AN148" s="69">
        <f t="shared" si="214"/>
        <v>-2341616</v>
      </c>
      <c r="AO148" s="69">
        <f t="shared" si="214"/>
        <v>0</v>
      </c>
      <c r="AP148" s="69">
        <f t="shared" si="214"/>
        <v>2365814</v>
      </c>
      <c r="AQ148" s="69">
        <f t="shared" si="214"/>
        <v>0</v>
      </c>
      <c r="AR148" s="27">
        <f t="shared" si="214"/>
        <v>4134424</v>
      </c>
      <c r="AS148" s="69">
        <f t="shared" si="214"/>
        <v>21</v>
      </c>
      <c r="AT148" s="27">
        <f t="shared" si="214"/>
        <v>72448</v>
      </c>
      <c r="AU148" s="27">
        <f t="shared" si="214"/>
        <v>1</v>
      </c>
      <c r="AV148" s="27">
        <f t="shared" si="214"/>
        <v>4061976</v>
      </c>
      <c r="AW148" s="27">
        <f t="shared" si="214"/>
        <v>20</v>
      </c>
      <c r="AX148" s="27">
        <f t="shared" si="214"/>
        <v>1033606</v>
      </c>
      <c r="AY148" s="27">
        <f t="shared" si="214"/>
        <v>10</v>
      </c>
      <c r="AZ148" s="27">
        <f t="shared" si="214"/>
        <v>1</v>
      </c>
      <c r="BA148" s="27">
        <v>7549754</v>
      </c>
      <c r="BB148" s="27">
        <v>39</v>
      </c>
      <c r="BC148" s="10">
        <f t="shared" si="135"/>
        <v>7549754</v>
      </c>
      <c r="BD148" s="27"/>
      <c r="BE148" s="27">
        <f t="shared" si="214"/>
        <v>0</v>
      </c>
      <c r="BF148" s="69">
        <f t="shared" si="214"/>
        <v>0</v>
      </c>
      <c r="BG148" s="27">
        <f t="shared" si="214"/>
        <v>0</v>
      </c>
      <c r="BH148" s="27">
        <f t="shared" si="214"/>
        <v>0</v>
      </c>
      <c r="BI148" s="27">
        <f t="shared" si="214"/>
        <v>0</v>
      </c>
      <c r="BJ148" s="27">
        <f t="shared" si="214"/>
        <v>0</v>
      </c>
      <c r="BK148" s="27">
        <f t="shared" si="214"/>
        <v>0</v>
      </c>
      <c r="BL148" s="27">
        <f t="shared" si="214"/>
        <v>0</v>
      </c>
      <c r="BM148" s="27">
        <f t="shared" si="214"/>
        <v>0</v>
      </c>
      <c r="BN148" s="27">
        <f t="shared" si="214"/>
        <v>0</v>
      </c>
      <c r="BO148" s="27">
        <f t="shared" si="214"/>
        <v>0</v>
      </c>
      <c r="BP148" s="27">
        <f t="shared" si="214"/>
        <v>0</v>
      </c>
      <c r="BQ148" s="27">
        <f t="shared" si="214"/>
        <v>0</v>
      </c>
      <c r="BR148" s="27">
        <f t="shared" si="214"/>
        <v>0</v>
      </c>
      <c r="BS148" s="27">
        <f t="shared" si="214"/>
        <v>0</v>
      </c>
      <c r="BT148" s="61">
        <f t="shared" si="214"/>
        <v>0</v>
      </c>
      <c r="BU148" s="25"/>
      <c r="BV148" s="25"/>
      <c r="BW148" s="25"/>
      <c r="BX148" s="25"/>
      <c r="BY148" s="25"/>
    </row>
    <row r="149" spans="1:77" s="30" customFormat="1" ht="11.25" outlineLevel="1" x14ac:dyDescent="0.25">
      <c r="A149" s="49"/>
      <c r="B149" s="107">
        <v>25</v>
      </c>
      <c r="C149" s="104" t="s">
        <v>300</v>
      </c>
      <c r="D149" s="104"/>
      <c r="E149" s="104"/>
      <c r="F149" s="104">
        <f>SUM(F150:F174)</f>
        <v>6975304.7400000002</v>
      </c>
      <c r="G149" s="104">
        <f>SUM(G150:G174)</f>
        <v>6808415.4299999997</v>
      </c>
      <c r="H149" s="104"/>
      <c r="I149" s="104"/>
      <c r="J149" s="104"/>
      <c r="K149" s="104"/>
      <c r="L149" s="104"/>
      <c r="M149" s="104">
        <f>SUM(M150:M174)</f>
        <v>275466</v>
      </c>
      <c r="N149" s="104">
        <f>SUM(N150:N174)</f>
        <v>826773.75</v>
      </c>
      <c r="O149" s="104">
        <v>4507312</v>
      </c>
      <c r="P149" s="104">
        <v>22</v>
      </c>
      <c r="Q149" s="26">
        <v>2822256</v>
      </c>
      <c r="R149" s="104">
        <v>17</v>
      </c>
      <c r="S149" s="26">
        <f t="shared" ref="S149:AI149" si="215">SUM(S150:S174)</f>
        <v>2160837</v>
      </c>
      <c r="T149" s="26">
        <f t="shared" si="215"/>
        <v>0</v>
      </c>
      <c r="U149" s="26">
        <f t="shared" ref="U149:V149" si="216">SUM(U150:U174)</f>
        <v>3027233</v>
      </c>
      <c r="V149" s="67">
        <f t="shared" si="216"/>
        <v>18</v>
      </c>
      <c r="W149" s="67">
        <f t="shared" ref="W149:Z149" si="217">SUM(W150:W174)</f>
        <v>661419</v>
      </c>
      <c r="X149" s="67">
        <f t="shared" si="217"/>
        <v>2</v>
      </c>
      <c r="Y149" s="67">
        <f t="shared" si="217"/>
        <v>2365814</v>
      </c>
      <c r="Z149" s="67">
        <f t="shared" si="217"/>
        <v>16</v>
      </c>
      <c r="AA149" s="67">
        <f t="shared" ref="AA149:AB149" si="218">SUM(AA150:AA174)</f>
        <v>-2365814</v>
      </c>
      <c r="AB149" s="67">
        <f t="shared" si="218"/>
        <v>0</v>
      </c>
      <c r="AC149" s="26">
        <f t="shared" si="215"/>
        <v>661419</v>
      </c>
      <c r="AD149" s="104">
        <f t="shared" si="215"/>
        <v>2</v>
      </c>
      <c r="AE149" s="104">
        <f t="shared" si="215"/>
        <v>661419</v>
      </c>
      <c r="AF149" s="104">
        <f t="shared" si="215"/>
        <v>2</v>
      </c>
      <c r="AG149" s="104">
        <f t="shared" si="215"/>
        <v>0</v>
      </c>
      <c r="AH149" s="104">
        <f t="shared" si="215"/>
        <v>0</v>
      </c>
      <c r="AI149" s="104">
        <f t="shared" si="215"/>
        <v>165354.75</v>
      </c>
      <c r="AJ149" s="113">
        <f t="shared" ref="AJ149:AQ149" si="219">SUM(AJ150:AJ174)</f>
        <v>14</v>
      </c>
      <c r="AK149" s="113">
        <f t="shared" si="219"/>
        <v>4</v>
      </c>
      <c r="AL149" s="113">
        <f t="shared" si="219"/>
        <v>1792808</v>
      </c>
      <c r="AM149" s="113">
        <f t="shared" si="219"/>
        <v>9</v>
      </c>
      <c r="AN149" s="113">
        <f t="shared" si="219"/>
        <v>-2341616</v>
      </c>
      <c r="AO149" s="113">
        <f t="shared" si="219"/>
        <v>0</v>
      </c>
      <c r="AP149" s="113">
        <f t="shared" si="219"/>
        <v>2365814</v>
      </c>
      <c r="AQ149" s="113">
        <f t="shared" si="219"/>
        <v>0</v>
      </c>
      <c r="AR149" s="26">
        <f t="shared" ref="AR149:AZ149" si="220">SUM(AR150:AR174)</f>
        <v>4134424</v>
      </c>
      <c r="AS149" s="104">
        <f t="shared" si="220"/>
        <v>21</v>
      </c>
      <c r="AT149" s="104">
        <f t="shared" si="220"/>
        <v>72448</v>
      </c>
      <c r="AU149" s="104">
        <f t="shared" si="220"/>
        <v>1</v>
      </c>
      <c r="AV149" s="104">
        <f t="shared" si="220"/>
        <v>4061976</v>
      </c>
      <c r="AW149" s="104">
        <f t="shared" si="220"/>
        <v>20</v>
      </c>
      <c r="AX149" s="104">
        <f t="shared" si="220"/>
        <v>1033606</v>
      </c>
      <c r="AY149" s="104">
        <f t="shared" si="220"/>
        <v>10</v>
      </c>
      <c r="AZ149" s="104">
        <f t="shared" si="220"/>
        <v>1</v>
      </c>
      <c r="BA149" s="104">
        <v>7549754</v>
      </c>
      <c r="BB149" s="104">
        <v>39</v>
      </c>
      <c r="BC149" s="10">
        <f t="shared" si="135"/>
        <v>7549754</v>
      </c>
      <c r="BD149" s="104"/>
      <c r="BE149" s="26">
        <f t="shared" ref="BE149:BT149" si="221">SUM(BE150:BE174)</f>
        <v>0</v>
      </c>
      <c r="BF149" s="104">
        <f t="shared" si="221"/>
        <v>0</v>
      </c>
      <c r="BG149" s="104">
        <f t="shared" si="221"/>
        <v>0</v>
      </c>
      <c r="BH149" s="104">
        <f t="shared" si="221"/>
        <v>0</v>
      </c>
      <c r="BI149" s="104">
        <f t="shared" si="221"/>
        <v>0</v>
      </c>
      <c r="BJ149" s="104">
        <f t="shared" si="221"/>
        <v>0</v>
      </c>
      <c r="BK149" s="104">
        <f t="shared" si="221"/>
        <v>0</v>
      </c>
      <c r="BL149" s="104">
        <f t="shared" si="221"/>
        <v>0</v>
      </c>
      <c r="BM149" s="104">
        <f t="shared" si="221"/>
        <v>0</v>
      </c>
      <c r="BN149" s="104">
        <f t="shared" si="221"/>
        <v>0</v>
      </c>
      <c r="BO149" s="104">
        <f t="shared" si="221"/>
        <v>0</v>
      </c>
      <c r="BP149" s="104">
        <f t="shared" si="221"/>
        <v>0</v>
      </c>
      <c r="BQ149" s="104">
        <f t="shared" si="221"/>
        <v>0</v>
      </c>
      <c r="BR149" s="104">
        <f t="shared" si="221"/>
        <v>0</v>
      </c>
      <c r="BS149" s="104">
        <f t="shared" si="221"/>
        <v>0</v>
      </c>
      <c r="BT149" s="55">
        <f t="shared" si="221"/>
        <v>0</v>
      </c>
      <c r="BU149" s="29"/>
      <c r="BV149" s="29"/>
      <c r="BW149" s="29"/>
      <c r="BX149" s="29"/>
      <c r="BY149" s="29"/>
    </row>
    <row r="150" spans="1:77" s="30" customFormat="1" ht="37.5" customHeight="1" outlineLevel="1" x14ac:dyDescent="0.25">
      <c r="A150" s="49"/>
      <c r="B150" s="59">
        <v>1</v>
      </c>
      <c r="C150" s="13" t="s">
        <v>1473</v>
      </c>
      <c r="D150" s="13" t="s">
        <v>295</v>
      </c>
      <c r="E150" s="104" t="s">
        <v>9</v>
      </c>
      <c r="F150" s="104">
        <v>425262</v>
      </c>
      <c r="G150" s="104">
        <v>417663</v>
      </c>
      <c r="H150" s="104">
        <v>414981</v>
      </c>
      <c r="I150" s="104">
        <f t="shared" ref="I150:I151" si="222">G150-H150</f>
        <v>2682</v>
      </c>
      <c r="J150" s="104">
        <v>1</v>
      </c>
      <c r="K150" s="104">
        <v>1</v>
      </c>
      <c r="L150" s="104"/>
      <c r="M150" s="104">
        <v>187500</v>
      </c>
      <c r="N150" s="104">
        <f>AC150+AI150</f>
        <v>227481.25</v>
      </c>
      <c r="O150" s="104">
        <v>214130</v>
      </c>
      <c r="P150" s="104">
        <v>1</v>
      </c>
      <c r="Q150" s="26">
        <v>214130</v>
      </c>
      <c r="R150" s="104">
        <v>1</v>
      </c>
      <c r="S150" s="104">
        <f t="shared" si="138"/>
        <v>32145</v>
      </c>
      <c r="T150" s="104"/>
      <c r="U150" s="26">
        <f t="shared" ref="U150:V174" si="223">W150+Y150</f>
        <v>181985</v>
      </c>
      <c r="V150" s="113">
        <f t="shared" si="223"/>
        <v>1</v>
      </c>
      <c r="W150" s="113">
        <v>181985</v>
      </c>
      <c r="X150" s="113">
        <f t="shared" ref="X150:X174" si="224">IF(W150,1,0)</f>
        <v>1</v>
      </c>
      <c r="Y150" s="113"/>
      <c r="Z150" s="113">
        <f t="shared" ref="Z150:Z174" si="225">IF(Y150,1,0)</f>
        <v>0</v>
      </c>
      <c r="AA150" s="118">
        <v>0</v>
      </c>
      <c r="AB150" s="122"/>
      <c r="AC150" s="26">
        <f t="shared" si="142"/>
        <v>181985</v>
      </c>
      <c r="AD150" s="104">
        <f t="shared" si="142"/>
        <v>1</v>
      </c>
      <c r="AE150" s="104">
        <v>181985</v>
      </c>
      <c r="AF150" s="104">
        <f t="shared" ref="AF150:AF174" si="226">IF(AE150,1,0)</f>
        <v>1</v>
      </c>
      <c r="AG150" s="104"/>
      <c r="AH150" s="104">
        <f t="shared" ref="AH150:AH174" si="227">IF(AG150,1,0)</f>
        <v>0</v>
      </c>
      <c r="AI150" s="104">
        <f>AC150/0.8*0.2</f>
        <v>45496.25</v>
      </c>
      <c r="AJ150" s="104">
        <v>1</v>
      </c>
      <c r="AK150" s="104"/>
      <c r="AL150" s="104">
        <v>0</v>
      </c>
      <c r="AM150" s="104">
        <v>0</v>
      </c>
      <c r="AN150" s="104">
        <f t="shared" si="145"/>
        <v>0</v>
      </c>
      <c r="AO150" s="104"/>
      <c r="AP150" s="113">
        <f>U150-AC150</f>
        <v>0</v>
      </c>
      <c r="AQ150" s="113"/>
      <c r="AR150" s="34">
        <f t="shared" si="146"/>
        <v>0</v>
      </c>
      <c r="AS150" s="10">
        <v>0</v>
      </c>
      <c r="AT150" s="10">
        <v>0</v>
      </c>
      <c r="AU150" s="10">
        <v>0</v>
      </c>
      <c r="AV150" s="10">
        <v>0</v>
      </c>
      <c r="AW150" s="10">
        <v>0</v>
      </c>
      <c r="AX150" s="10">
        <f>AR150/0.8*0.2</f>
        <v>0</v>
      </c>
      <c r="AY150" s="10"/>
      <c r="AZ150" s="10"/>
      <c r="BA150" s="10">
        <v>0</v>
      </c>
      <c r="BB150" s="10">
        <v>0</v>
      </c>
      <c r="BC150" s="10">
        <f t="shared" si="135"/>
        <v>0</v>
      </c>
      <c r="BD150" s="10"/>
      <c r="BE150" s="26">
        <f t="shared" si="212"/>
        <v>0</v>
      </c>
      <c r="BF150" s="104">
        <f t="shared" si="212"/>
        <v>0</v>
      </c>
      <c r="BG150" s="104"/>
      <c r="BH150" s="104">
        <f t="shared" si="213"/>
        <v>0</v>
      </c>
      <c r="BI150" s="104"/>
      <c r="BJ150" s="104">
        <f t="shared" si="150"/>
        <v>0</v>
      </c>
      <c r="BK150" s="104"/>
      <c r="BL150" s="104"/>
      <c r="BM150" s="104"/>
      <c r="BN150" s="104" t="s">
        <v>907</v>
      </c>
      <c r="BO150" s="104" t="s">
        <v>1601</v>
      </c>
      <c r="BP150" s="104" t="s">
        <v>1349</v>
      </c>
      <c r="BQ150" s="104" t="s">
        <v>1350</v>
      </c>
      <c r="BR150" s="104" t="s">
        <v>1071</v>
      </c>
      <c r="BS150" s="104" t="s">
        <v>1351</v>
      </c>
      <c r="BT150" s="55" t="s">
        <v>1072</v>
      </c>
      <c r="BU150" s="29"/>
      <c r="BV150" s="29"/>
      <c r="BW150" s="29"/>
      <c r="BX150" s="29"/>
      <c r="BY150" s="29"/>
    </row>
    <row r="151" spans="1:77" s="30" customFormat="1" ht="28.5" customHeight="1" outlineLevel="1" x14ac:dyDescent="0.25">
      <c r="A151" s="49"/>
      <c r="B151" s="59">
        <v>2</v>
      </c>
      <c r="C151" s="13" t="s">
        <v>298</v>
      </c>
      <c r="D151" s="104" t="s">
        <v>299</v>
      </c>
      <c r="E151" s="104" t="s">
        <v>9</v>
      </c>
      <c r="F151" s="104">
        <v>712613</v>
      </c>
      <c r="G151" s="104">
        <v>710183</v>
      </c>
      <c r="H151" s="26">
        <v>687259</v>
      </c>
      <c r="I151" s="104">
        <f t="shared" si="222"/>
        <v>22924</v>
      </c>
      <c r="J151" s="104">
        <v>1</v>
      </c>
      <c r="K151" s="104">
        <v>1</v>
      </c>
      <c r="L151" s="104"/>
      <c r="M151" s="104">
        <v>87966</v>
      </c>
      <c r="N151" s="104">
        <f t="shared" ref="N151:N174" si="228">AC151+AI151</f>
        <v>599292.5</v>
      </c>
      <c r="O151" s="104">
        <v>497773</v>
      </c>
      <c r="P151" s="104">
        <v>1</v>
      </c>
      <c r="Q151" s="26">
        <v>497773</v>
      </c>
      <c r="R151" s="104">
        <v>1</v>
      </c>
      <c r="S151" s="104">
        <f t="shared" si="138"/>
        <v>18339</v>
      </c>
      <c r="T151" s="104"/>
      <c r="U151" s="26">
        <f t="shared" si="223"/>
        <v>479434</v>
      </c>
      <c r="V151" s="113">
        <f t="shared" si="223"/>
        <v>1</v>
      </c>
      <c r="W151" s="113">
        <v>479434</v>
      </c>
      <c r="X151" s="113">
        <f t="shared" si="224"/>
        <v>1</v>
      </c>
      <c r="Y151" s="113"/>
      <c r="Z151" s="113">
        <f t="shared" si="225"/>
        <v>0</v>
      </c>
      <c r="AA151" s="118">
        <v>0</v>
      </c>
      <c r="AB151" s="122"/>
      <c r="AC151" s="26">
        <f t="shared" si="142"/>
        <v>479434</v>
      </c>
      <c r="AD151" s="104">
        <f t="shared" si="142"/>
        <v>1</v>
      </c>
      <c r="AE151" s="104">
        <v>479434</v>
      </c>
      <c r="AF151" s="104">
        <f t="shared" si="226"/>
        <v>1</v>
      </c>
      <c r="AG151" s="104"/>
      <c r="AH151" s="104">
        <f t="shared" si="227"/>
        <v>0</v>
      </c>
      <c r="AI151" s="104">
        <f t="shared" ref="AI151:AI174" si="229">AC151/0.8*0.2</f>
        <v>119858.5</v>
      </c>
      <c r="AJ151" s="104">
        <v>1</v>
      </c>
      <c r="AK151" s="104"/>
      <c r="AL151" s="104">
        <v>0</v>
      </c>
      <c r="AM151" s="104">
        <v>0</v>
      </c>
      <c r="AN151" s="104">
        <f t="shared" si="145"/>
        <v>0</v>
      </c>
      <c r="AO151" s="104"/>
      <c r="AP151" s="113">
        <f t="shared" ref="AP151:AP174" si="230">U151-AC151</f>
        <v>0</v>
      </c>
      <c r="AQ151" s="113"/>
      <c r="AR151" s="34">
        <f t="shared" si="146"/>
        <v>0</v>
      </c>
      <c r="AS151" s="10">
        <f t="shared" si="146"/>
        <v>0</v>
      </c>
      <c r="AT151" s="10"/>
      <c r="AU151" s="10">
        <f t="shared" si="147"/>
        <v>0</v>
      </c>
      <c r="AV151" s="10"/>
      <c r="AW151" s="10">
        <f t="shared" si="154"/>
        <v>0</v>
      </c>
      <c r="AX151" s="10">
        <f t="shared" ref="AX151:AX174" si="231">AR151/0.8*0.2</f>
        <v>0</v>
      </c>
      <c r="AY151" s="10"/>
      <c r="AZ151" s="10"/>
      <c r="BA151" s="10">
        <v>0</v>
      </c>
      <c r="BB151" s="10">
        <v>0</v>
      </c>
      <c r="BC151" s="10">
        <f t="shared" si="135"/>
        <v>0</v>
      </c>
      <c r="BD151" s="10"/>
      <c r="BE151" s="26">
        <f t="shared" si="212"/>
        <v>0</v>
      </c>
      <c r="BF151" s="104">
        <f t="shared" si="212"/>
        <v>0</v>
      </c>
      <c r="BG151" s="104"/>
      <c r="BH151" s="104">
        <f t="shared" si="213"/>
        <v>0</v>
      </c>
      <c r="BI151" s="104"/>
      <c r="BJ151" s="104">
        <f t="shared" si="150"/>
        <v>0</v>
      </c>
      <c r="BK151" s="104"/>
      <c r="BL151" s="104"/>
      <c r="BM151" s="104"/>
      <c r="BN151" s="104" t="s">
        <v>908</v>
      </c>
      <c r="BO151" s="104" t="s">
        <v>1078</v>
      </c>
      <c r="BP151" s="104" t="s">
        <v>1077</v>
      </c>
      <c r="BQ151" s="104" t="s">
        <v>1075</v>
      </c>
      <c r="BR151" s="104" t="s">
        <v>1076</v>
      </c>
      <c r="BS151" s="104" t="s">
        <v>1074</v>
      </c>
      <c r="BT151" s="55" t="s">
        <v>1073</v>
      </c>
      <c r="BU151" s="29"/>
      <c r="BV151" s="29"/>
      <c r="BW151" s="29"/>
      <c r="BX151" s="29"/>
      <c r="BY151" s="29"/>
    </row>
    <row r="152" spans="1:77" s="30" customFormat="1" ht="45.75" customHeight="1" outlineLevel="1" x14ac:dyDescent="0.25">
      <c r="A152" s="49"/>
      <c r="B152" s="59">
        <v>3</v>
      </c>
      <c r="C152" s="13" t="s">
        <v>297</v>
      </c>
      <c r="D152" s="13" t="s">
        <v>1221</v>
      </c>
      <c r="E152" s="104">
        <v>2015</v>
      </c>
      <c r="F152" s="104">
        <v>207675</v>
      </c>
      <c r="G152" s="104">
        <v>202982</v>
      </c>
      <c r="H152" s="104"/>
      <c r="I152" s="104"/>
      <c r="J152" s="104"/>
      <c r="K152" s="104">
        <v>1</v>
      </c>
      <c r="L152" s="104"/>
      <c r="M152" s="104">
        <v>0</v>
      </c>
      <c r="N152" s="104">
        <f t="shared" si="228"/>
        <v>0</v>
      </c>
      <c r="O152" s="104">
        <v>162386</v>
      </c>
      <c r="P152" s="104">
        <v>1</v>
      </c>
      <c r="Q152" s="26">
        <v>162386</v>
      </c>
      <c r="R152" s="104">
        <v>1</v>
      </c>
      <c r="S152" s="104">
        <f t="shared" si="138"/>
        <v>162386</v>
      </c>
      <c r="T152" s="104"/>
      <c r="U152" s="26">
        <f t="shared" si="223"/>
        <v>162386</v>
      </c>
      <c r="V152" s="113">
        <f t="shared" si="223"/>
        <v>1</v>
      </c>
      <c r="W152" s="113"/>
      <c r="X152" s="113">
        <f t="shared" si="224"/>
        <v>0</v>
      </c>
      <c r="Y152" s="113">
        <v>162386</v>
      </c>
      <c r="Z152" s="113">
        <f t="shared" si="225"/>
        <v>1</v>
      </c>
      <c r="AA152" s="118">
        <v>-162386</v>
      </c>
      <c r="AB152" s="122"/>
      <c r="AC152" s="26">
        <f t="shared" si="142"/>
        <v>0</v>
      </c>
      <c r="AD152" s="104">
        <f t="shared" si="142"/>
        <v>0</v>
      </c>
      <c r="AE152" s="104"/>
      <c r="AF152" s="104">
        <f t="shared" si="226"/>
        <v>0</v>
      </c>
      <c r="AG152" s="104"/>
      <c r="AH152" s="104">
        <f t="shared" si="227"/>
        <v>0</v>
      </c>
      <c r="AI152" s="104">
        <f t="shared" si="229"/>
        <v>0</v>
      </c>
      <c r="AJ152" s="104">
        <v>1</v>
      </c>
      <c r="AK152" s="104"/>
      <c r="AL152" s="104">
        <v>0</v>
      </c>
      <c r="AM152" s="104">
        <v>0</v>
      </c>
      <c r="AN152" s="104">
        <f t="shared" si="145"/>
        <v>-162386</v>
      </c>
      <c r="AO152" s="104"/>
      <c r="AP152" s="113">
        <f t="shared" si="230"/>
        <v>162386</v>
      </c>
      <c r="AQ152" s="113"/>
      <c r="AR152" s="34">
        <f t="shared" si="146"/>
        <v>162386</v>
      </c>
      <c r="AS152" s="10">
        <f t="shared" si="146"/>
        <v>1</v>
      </c>
      <c r="AT152" s="10"/>
      <c r="AU152" s="10">
        <f t="shared" si="147"/>
        <v>0</v>
      </c>
      <c r="AV152" s="10">
        <f>162386</f>
        <v>162386</v>
      </c>
      <c r="AW152" s="10">
        <f t="shared" si="154"/>
        <v>1</v>
      </c>
      <c r="AX152" s="10">
        <f t="shared" si="231"/>
        <v>40596.5</v>
      </c>
      <c r="AY152" s="10"/>
      <c r="AZ152" s="10"/>
      <c r="BA152" s="10">
        <v>0</v>
      </c>
      <c r="BB152" s="10">
        <v>0</v>
      </c>
      <c r="BC152" s="10">
        <f t="shared" si="135"/>
        <v>0</v>
      </c>
      <c r="BD152" s="10"/>
      <c r="BE152" s="26">
        <f t="shared" si="212"/>
        <v>0</v>
      </c>
      <c r="BF152" s="104">
        <f t="shared" si="212"/>
        <v>0</v>
      </c>
      <c r="BG152" s="104"/>
      <c r="BH152" s="104">
        <f t="shared" si="213"/>
        <v>0</v>
      </c>
      <c r="BI152" s="104"/>
      <c r="BJ152" s="104">
        <f t="shared" si="150"/>
        <v>0</v>
      </c>
      <c r="BK152" s="104"/>
      <c r="BL152" s="104"/>
      <c r="BM152" s="104"/>
      <c r="BN152" s="104" t="s">
        <v>1222</v>
      </c>
      <c r="BO152" s="104" t="s">
        <v>1602</v>
      </c>
      <c r="BP152" s="104" t="s">
        <v>1223</v>
      </c>
      <c r="BQ152" s="104" t="s">
        <v>1224</v>
      </c>
      <c r="BR152" s="104" t="s">
        <v>1225</v>
      </c>
      <c r="BS152" s="104" t="s">
        <v>1226</v>
      </c>
      <c r="BT152" s="55" t="s">
        <v>1227</v>
      </c>
      <c r="BU152" s="29"/>
      <c r="BV152" s="29"/>
      <c r="BW152" s="29"/>
      <c r="BX152" s="29"/>
      <c r="BY152" s="29"/>
    </row>
    <row r="153" spans="1:77" s="30" customFormat="1" ht="35.25" customHeight="1" outlineLevel="1" x14ac:dyDescent="0.25">
      <c r="A153" s="49"/>
      <c r="B153" s="59">
        <v>4</v>
      </c>
      <c r="C153" s="13" t="s">
        <v>296</v>
      </c>
      <c r="D153" s="13" t="s">
        <v>1256</v>
      </c>
      <c r="E153" s="104">
        <v>2015</v>
      </c>
      <c r="F153" s="104">
        <v>185183</v>
      </c>
      <c r="G153" s="104">
        <v>181983</v>
      </c>
      <c r="H153" s="104"/>
      <c r="I153" s="104"/>
      <c r="J153" s="104"/>
      <c r="K153" s="104">
        <v>1</v>
      </c>
      <c r="L153" s="104"/>
      <c r="M153" s="104">
        <v>0</v>
      </c>
      <c r="N153" s="104">
        <f t="shared" si="228"/>
        <v>0</v>
      </c>
      <c r="O153" s="104">
        <v>145586</v>
      </c>
      <c r="P153" s="104">
        <v>1</v>
      </c>
      <c r="Q153" s="26">
        <v>145586</v>
      </c>
      <c r="R153" s="104">
        <v>1</v>
      </c>
      <c r="S153" s="104">
        <f t="shared" si="138"/>
        <v>145586</v>
      </c>
      <c r="T153" s="104"/>
      <c r="U153" s="26">
        <f t="shared" si="223"/>
        <v>145586</v>
      </c>
      <c r="V153" s="113">
        <f t="shared" si="223"/>
        <v>1</v>
      </c>
      <c r="W153" s="41"/>
      <c r="X153" s="113">
        <f t="shared" si="224"/>
        <v>0</v>
      </c>
      <c r="Y153" s="113">
        <v>145586</v>
      </c>
      <c r="Z153" s="113">
        <f t="shared" si="225"/>
        <v>1</v>
      </c>
      <c r="AA153" s="118">
        <v>-145586</v>
      </c>
      <c r="AB153" s="122"/>
      <c r="AC153" s="26">
        <f t="shared" si="142"/>
        <v>0</v>
      </c>
      <c r="AD153" s="104">
        <f t="shared" si="142"/>
        <v>0</v>
      </c>
      <c r="AE153" s="41"/>
      <c r="AF153" s="104">
        <f t="shared" si="226"/>
        <v>0</v>
      </c>
      <c r="AG153" s="104"/>
      <c r="AH153" s="104">
        <f t="shared" si="227"/>
        <v>0</v>
      </c>
      <c r="AI153" s="104">
        <f t="shared" si="229"/>
        <v>0</v>
      </c>
      <c r="AJ153" s="104">
        <v>1</v>
      </c>
      <c r="AK153" s="104"/>
      <c r="AL153" s="104">
        <v>0</v>
      </c>
      <c r="AM153" s="104">
        <v>0</v>
      </c>
      <c r="AN153" s="104">
        <f t="shared" si="145"/>
        <v>-145586</v>
      </c>
      <c r="AO153" s="104"/>
      <c r="AP153" s="113">
        <f t="shared" si="230"/>
        <v>145586</v>
      </c>
      <c r="AQ153" s="113"/>
      <c r="AR153" s="34">
        <f t="shared" si="146"/>
        <v>145586</v>
      </c>
      <c r="AS153" s="10">
        <f t="shared" si="146"/>
        <v>1</v>
      </c>
      <c r="AT153" s="10"/>
      <c r="AU153" s="10">
        <f t="shared" si="147"/>
        <v>0</v>
      </c>
      <c r="AV153" s="10">
        <f>145586</f>
        <v>145586</v>
      </c>
      <c r="AW153" s="10">
        <f t="shared" si="154"/>
        <v>1</v>
      </c>
      <c r="AX153" s="10">
        <f t="shared" si="231"/>
        <v>36396.5</v>
      </c>
      <c r="AY153" s="10"/>
      <c r="AZ153" s="10"/>
      <c r="BA153" s="10">
        <v>0</v>
      </c>
      <c r="BB153" s="10">
        <v>0</v>
      </c>
      <c r="BC153" s="10">
        <f t="shared" si="135"/>
        <v>0</v>
      </c>
      <c r="BD153" s="10"/>
      <c r="BE153" s="26">
        <f t="shared" si="212"/>
        <v>0</v>
      </c>
      <c r="BF153" s="104">
        <f t="shared" si="212"/>
        <v>0</v>
      </c>
      <c r="BG153" s="104"/>
      <c r="BH153" s="104">
        <f t="shared" si="213"/>
        <v>0</v>
      </c>
      <c r="BI153" s="104"/>
      <c r="BJ153" s="104">
        <f t="shared" si="150"/>
        <v>0</v>
      </c>
      <c r="BK153" s="104"/>
      <c r="BL153" s="104"/>
      <c r="BM153" s="104"/>
      <c r="BN153" s="41" t="s">
        <v>1210</v>
      </c>
      <c r="BO153" s="104" t="s">
        <v>1603</v>
      </c>
      <c r="BP153" s="104" t="s">
        <v>1211</v>
      </c>
      <c r="BQ153" s="104" t="s">
        <v>1212</v>
      </c>
      <c r="BR153" s="104" t="s">
        <v>1213</v>
      </c>
      <c r="BS153" s="104" t="s">
        <v>1214</v>
      </c>
      <c r="BT153" s="55" t="s">
        <v>1215</v>
      </c>
      <c r="BU153" s="29"/>
      <c r="BV153" s="29"/>
      <c r="BW153" s="29"/>
      <c r="BX153" s="29"/>
      <c r="BY153" s="29"/>
    </row>
    <row r="154" spans="1:77" s="30" customFormat="1" ht="42.75" customHeight="1" outlineLevel="1" x14ac:dyDescent="0.25">
      <c r="A154" s="49"/>
      <c r="B154" s="59">
        <v>5</v>
      </c>
      <c r="C154" s="104" t="s">
        <v>61</v>
      </c>
      <c r="D154" s="104" t="s">
        <v>62</v>
      </c>
      <c r="E154" s="104">
        <v>2015</v>
      </c>
      <c r="F154" s="104">
        <v>255299</v>
      </c>
      <c r="G154" s="104">
        <v>252299</v>
      </c>
      <c r="H154" s="104"/>
      <c r="I154" s="104"/>
      <c r="J154" s="104"/>
      <c r="K154" s="104"/>
      <c r="L154" s="104"/>
      <c r="M154" s="104">
        <v>0</v>
      </c>
      <c r="N154" s="104">
        <f t="shared" si="228"/>
        <v>0</v>
      </c>
      <c r="O154" s="104">
        <v>201839</v>
      </c>
      <c r="P154" s="104">
        <v>1</v>
      </c>
      <c r="Q154" s="26">
        <v>201839</v>
      </c>
      <c r="R154" s="104">
        <v>1</v>
      </c>
      <c r="S154" s="104">
        <f t="shared" si="138"/>
        <v>201839</v>
      </c>
      <c r="T154" s="104"/>
      <c r="U154" s="26">
        <f t="shared" si="223"/>
        <v>201839</v>
      </c>
      <c r="V154" s="113">
        <f t="shared" si="223"/>
        <v>1</v>
      </c>
      <c r="W154" s="41"/>
      <c r="X154" s="113">
        <f t="shared" si="224"/>
        <v>0</v>
      </c>
      <c r="Y154" s="113">
        <v>201839</v>
      </c>
      <c r="Z154" s="113">
        <f t="shared" si="225"/>
        <v>1</v>
      </c>
      <c r="AA154" s="118">
        <v>-201839</v>
      </c>
      <c r="AB154" s="122"/>
      <c r="AC154" s="26">
        <f t="shared" si="142"/>
        <v>0</v>
      </c>
      <c r="AD154" s="104">
        <f t="shared" si="142"/>
        <v>0</v>
      </c>
      <c r="AE154" s="41"/>
      <c r="AF154" s="104">
        <f t="shared" si="226"/>
        <v>0</v>
      </c>
      <c r="AG154" s="104"/>
      <c r="AH154" s="104">
        <f t="shared" si="227"/>
        <v>0</v>
      </c>
      <c r="AI154" s="104">
        <f t="shared" si="229"/>
        <v>0</v>
      </c>
      <c r="AJ154" s="104">
        <v>1</v>
      </c>
      <c r="AK154" s="104"/>
      <c r="AL154" s="104">
        <v>0</v>
      </c>
      <c r="AM154" s="104">
        <v>0</v>
      </c>
      <c r="AN154" s="104">
        <f t="shared" si="145"/>
        <v>-201839</v>
      </c>
      <c r="AO154" s="104"/>
      <c r="AP154" s="113">
        <f t="shared" si="230"/>
        <v>201839</v>
      </c>
      <c r="AQ154" s="113"/>
      <c r="AR154" s="34">
        <f t="shared" si="146"/>
        <v>201839</v>
      </c>
      <c r="AS154" s="10">
        <f t="shared" si="146"/>
        <v>1</v>
      </c>
      <c r="AT154" s="10"/>
      <c r="AU154" s="10">
        <f t="shared" si="147"/>
        <v>0</v>
      </c>
      <c r="AV154" s="10">
        <f>201839</f>
        <v>201839</v>
      </c>
      <c r="AW154" s="10">
        <f t="shared" si="154"/>
        <v>1</v>
      </c>
      <c r="AX154" s="10">
        <f t="shared" si="231"/>
        <v>50459.75</v>
      </c>
      <c r="AY154" s="10"/>
      <c r="AZ154" s="10"/>
      <c r="BA154" s="10">
        <v>0</v>
      </c>
      <c r="BB154" s="10">
        <v>0</v>
      </c>
      <c r="BC154" s="10">
        <f t="shared" si="135"/>
        <v>0</v>
      </c>
      <c r="BD154" s="10"/>
      <c r="BE154" s="26">
        <f t="shared" si="212"/>
        <v>0</v>
      </c>
      <c r="BF154" s="104">
        <f t="shared" si="212"/>
        <v>0</v>
      </c>
      <c r="BG154" s="104"/>
      <c r="BH154" s="104">
        <f t="shared" si="213"/>
        <v>0</v>
      </c>
      <c r="BI154" s="104"/>
      <c r="BJ154" s="104">
        <f t="shared" si="150"/>
        <v>0</v>
      </c>
      <c r="BK154" s="104"/>
      <c r="BL154" s="104"/>
      <c r="BM154" s="104"/>
      <c r="BN154" s="104" t="s">
        <v>63</v>
      </c>
      <c r="BO154" s="104" t="s">
        <v>1604</v>
      </c>
      <c r="BP154" s="104" t="s">
        <v>1112</v>
      </c>
      <c r="BQ154" s="104" t="s">
        <v>976</v>
      </c>
      <c r="BR154" s="104" t="s">
        <v>1111</v>
      </c>
      <c r="BS154" s="104" t="s">
        <v>1605</v>
      </c>
      <c r="BT154" s="55" t="s">
        <v>975</v>
      </c>
      <c r="BU154" s="29"/>
      <c r="BV154" s="29"/>
      <c r="BW154" s="29"/>
      <c r="BX154" s="29"/>
      <c r="BY154" s="29"/>
    </row>
    <row r="155" spans="1:77" s="30" customFormat="1" ht="25.5" customHeight="1" outlineLevel="1" x14ac:dyDescent="0.25">
      <c r="A155" s="49"/>
      <c r="B155" s="59">
        <v>6</v>
      </c>
      <c r="C155" s="104" t="s">
        <v>64</v>
      </c>
      <c r="D155" s="104" t="s">
        <v>65</v>
      </c>
      <c r="E155" s="104" t="s">
        <v>10</v>
      </c>
      <c r="F155" s="104">
        <v>315781</v>
      </c>
      <c r="G155" s="104">
        <v>312862.09999999998</v>
      </c>
      <c r="H155" s="104"/>
      <c r="I155" s="104"/>
      <c r="J155" s="104"/>
      <c r="K155" s="104"/>
      <c r="L155" s="104"/>
      <c r="M155" s="104">
        <v>0</v>
      </c>
      <c r="N155" s="104">
        <f t="shared" si="228"/>
        <v>0</v>
      </c>
      <c r="O155" s="104">
        <v>250290</v>
      </c>
      <c r="P155" s="104">
        <v>1</v>
      </c>
      <c r="Q155" s="26">
        <v>80000</v>
      </c>
      <c r="R155" s="104">
        <v>1</v>
      </c>
      <c r="S155" s="104">
        <f t="shared" si="138"/>
        <v>80000</v>
      </c>
      <c r="T155" s="104"/>
      <c r="U155" s="26">
        <v>80000</v>
      </c>
      <c r="V155" s="113">
        <f t="shared" si="223"/>
        <v>1</v>
      </c>
      <c r="W155" s="41"/>
      <c r="X155" s="113">
        <f t="shared" si="224"/>
        <v>0</v>
      </c>
      <c r="Y155" s="113">
        <v>80000</v>
      </c>
      <c r="Z155" s="113">
        <f t="shared" si="225"/>
        <v>1</v>
      </c>
      <c r="AA155" s="118">
        <v>-80000</v>
      </c>
      <c r="AB155" s="122"/>
      <c r="AC155" s="26">
        <f t="shared" si="142"/>
        <v>0</v>
      </c>
      <c r="AD155" s="104">
        <f t="shared" si="142"/>
        <v>0</v>
      </c>
      <c r="AE155" s="41"/>
      <c r="AF155" s="104">
        <f t="shared" si="226"/>
        <v>0</v>
      </c>
      <c r="AG155" s="104"/>
      <c r="AH155" s="104">
        <f t="shared" si="227"/>
        <v>0</v>
      </c>
      <c r="AI155" s="104">
        <f t="shared" si="229"/>
        <v>0</v>
      </c>
      <c r="AJ155" s="104"/>
      <c r="AK155" s="104">
        <v>1</v>
      </c>
      <c r="AL155" s="104">
        <v>170290</v>
      </c>
      <c r="AM155" s="104">
        <v>1</v>
      </c>
      <c r="AN155" s="104">
        <f t="shared" si="145"/>
        <v>-80000</v>
      </c>
      <c r="AO155" s="104"/>
      <c r="AP155" s="113">
        <f t="shared" si="230"/>
        <v>80000</v>
      </c>
      <c r="AQ155" s="113"/>
      <c r="AR155" s="34">
        <f t="shared" ref="AR155:AS174" si="232">AT155+AV155</f>
        <v>250290</v>
      </c>
      <c r="AS155" s="10">
        <f t="shared" si="232"/>
        <v>1</v>
      </c>
      <c r="AT155" s="10"/>
      <c r="AU155" s="10">
        <f t="shared" si="147"/>
        <v>0</v>
      </c>
      <c r="AV155" s="10">
        <f>250290</f>
        <v>250290</v>
      </c>
      <c r="AW155" s="10">
        <f t="shared" si="154"/>
        <v>1</v>
      </c>
      <c r="AX155" s="10">
        <f t="shared" si="231"/>
        <v>62572.5</v>
      </c>
      <c r="AY155" s="10">
        <v>1</v>
      </c>
      <c r="AZ155" s="10"/>
      <c r="BA155" s="10">
        <v>0</v>
      </c>
      <c r="BB155" s="10">
        <v>0</v>
      </c>
      <c r="BC155" s="10">
        <f t="shared" si="135"/>
        <v>0</v>
      </c>
      <c r="BD155" s="10"/>
      <c r="BE155" s="26">
        <f t="shared" si="212"/>
        <v>0</v>
      </c>
      <c r="BF155" s="104">
        <f t="shared" si="212"/>
        <v>0</v>
      </c>
      <c r="BG155" s="104"/>
      <c r="BH155" s="104">
        <f t="shared" si="213"/>
        <v>0</v>
      </c>
      <c r="BI155" s="104"/>
      <c r="BJ155" s="104">
        <f t="shared" si="150"/>
        <v>0</v>
      </c>
      <c r="BK155" s="104"/>
      <c r="BL155" s="104"/>
      <c r="BM155" s="104"/>
      <c r="BN155" s="104" t="s">
        <v>66</v>
      </c>
      <c r="BO155" s="104" t="s">
        <v>1606</v>
      </c>
      <c r="BP155" s="104" t="s">
        <v>69</v>
      </c>
      <c r="BQ155" s="104" t="s">
        <v>67</v>
      </c>
      <c r="BR155" s="104" t="s">
        <v>68</v>
      </c>
      <c r="BS155" s="104" t="s">
        <v>1607</v>
      </c>
      <c r="BT155" s="55" t="s">
        <v>977</v>
      </c>
      <c r="BU155" s="29"/>
      <c r="BV155" s="29"/>
      <c r="BW155" s="29"/>
      <c r="BX155" s="29"/>
      <c r="BY155" s="29"/>
    </row>
    <row r="156" spans="1:77" s="30" customFormat="1" ht="37.5" customHeight="1" outlineLevel="1" x14ac:dyDescent="0.25">
      <c r="A156" s="49"/>
      <c r="B156" s="59">
        <v>7</v>
      </c>
      <c r="C156" s="104" t="s">
        <v>70</v>
      </c>
      <c r="D156" s="104" t="s">
        <v>71</v>
      </c>
      <c r="E156" s="104" t="s">
        <v>324</v>
      </c>
      <c r="F156" s="104">
        <v>246255</v>
      </c>
      <c r="G156" s="104">
        <v>242775</v>
      </c>
      <c r="H156" s="104"/>
      <c r="I156" s="104"/>
      <c r="J156" s="104"/>
      <c r="K156" s="104">
        <v>1</v>
      </c>
      <c r="L156" s="104">
        <v>1</v>
      </c>
      <c r="M156" s="104">
        <v>0</v>
      </c>
      <c r="N156" s="104">
        <f t="shared" si="228"/>
        <v>0</v>
      </c>
      <c r="O156" s="104">
        <v>194220</v>
      </c>
      <c r="P156" s="104">
        <v>1</v>
      </c>
      <c r="Q156" s="26">
        <v>194220</v>
      </c>
      <c r="R156" s="104">
        <v>1</v>
      </c>
      <c r="S156" s="104">
        <f t="shared" si="138"/>
        <v>194220</v>
      </c>
      <c r="T156" s="104"/>
      <c r="U156" s="26">
        <f t="shared" ref="U156:U174" si="233">W156+Y156</f>
        <v>194220</v>
      </c>
      <c r="V156" s="113">
        <f t="shared" si="223"/>
        <v>1</v>
      </c>
      <c r="W156" s="41"/>
      <c r="X156" s="113">
        <f t="shared" si="224"/>
        <v>0</v>
      </c>
      <c r="Y156" s="113">
        <v>194220</v>
      </c>
      <c r="Z156" s="113">
        <f t="shared" si="225"/>
        <v>1</v>
      </c>
      <c r="AA156" s="118">
        <v>-194220</v>
      </c>
      <c r="AB156" s="122"/>
      <c r="AC156" s="26">
        <f t="shared" ref="AC156:AD174" si="234">AE156+AG156</f>
        <v>0</v>
      </c>
      <c r="AD156" s="104">
        <f t="shared" si="234"/>
        <v>0</v>
      </c>
      <c r="AE156" s="41"/>
      <c r="AF156" s="104">
        <f t="shared" si="226"/>
        <v>0</v>
      </c>
      <c r="AG156" s="104"/>
      <c r="AH156" s="104">
        <f t="shared" si="227"/>
        <v>0</v>
      </c>
      <c r="AI156" s="104">
        <f t="shared" si="229"/>
        <v>0</v>
      </c>
      <c r="AJ156" s="104">
        <v>1</v>
      </c>
      <c r="AK156" s="104"/>
      <c r="AL156" s="104">
        <v>0</v>
      </c>
      <c r="AM156" s="104">
        <v>0</v>
      </c>
      <c r="AN156" s="104">
        <f t="shared" si="145"/>
        <v>-72448</v>
      </c>
      <c r="AO156" s="104"/>
      <c r="AP156" s="113">
        <f t="shared" si="230"/>
        <v>194220</v>
      </c>
      <c r="AQ156" s="113"/>
      <c r="AR156" s="34">
        <f t="shared" si="232"/>
        <v>72448</v>
      </c>
      <c r="AS156" s="10">
        <f t="shared" si="232"/>
        <v>1</v>
      </c>
      <c r="AT156" s="10">
        <f>194220-121772</f>
        <v>72448</v>
      </c>
      <c r="AU156" s="10">
        <f t="shared" si="147"/>
        <v>1</v>
      </c>
      <c r="AV156" s="10"/>
      <c r="AW156" s="10">
        <f t="shared" si="154"/>
        <v>0</v>
      </c>
      <c r="AX156" s="10">
        <f t="shared" si="231"/>
        <v>18112</v>
      </c>
      <c r="AY156" s="10"/>
      <c r="AZ156" s="10"/>
      <c r="BA156" s="10">
        <v>0</v>
      </c>
      <c r="BB156" s="10">
        <v>0</v>
      </c>
      <c r="BC156" s="10">
        <f t="shared" si="135"/>
        <v>0</v>
      </c>
      <c r="BD156" s="10"/>
      <c r="BE156" s="26">
        <f t="shared" si="212"/>
        <v>0</v>
      </c>
      <c r="BF156" s="104">
        <f t="shared" si="212"/>
        <v>0</v>
      </c>
      <c r="BG156" s="104"/>
      <c r="BH156" s="104">
        <f t="shared" si="213"/>
        <v>0</v>
      </c>
      <c r="BI156" s="104"/>
      <c r="BJ156" s="104">
        <f t="shared" si="150"/>
        <v>0</v>
      </c>
      <c r="BK156" s="104"/>
      <c r="BL156" s="104"/>
      <c r="BM156" s="104"/>
      <c r="BN156" s="104" t="s">
        <v>76</v>
      </c>
      <c r="BO156" s="104" t="s">
        <v>1608</v>
      </c>
      <c r="BP156" s="104" t="s">
        <v>72</v>
      </c>
      <c r="BQ156" s="104" t="s">
        <v>75</v>
      </c>
      <c r="BR156" s="104" t="s">
        <v>74</v>
      </c>
      <c r="BS156" s="104" t="s">
        <v>73</v>
      </c>
      <c r="BT156" s="55" t="s">
        <v>978</v>
      </c>
      <c r="BU156" s="29"/>
      <c r="BV156" s="29"/>
      <c r="BW156" s="29"/>
      <c r="BX156" s="29"/>
      <c r="BY156" s="29"/>
    </row>
    <row r="157" spans="1:77" s="30" customFormat="1" ht="33" customHeight="1" outlineLevel="1" x14ac:dyDescent="0.25">
      <c r="A157" s="49"/>
      <c r="B157" s="59">
        <v>8</v>
      </c>
      <c r="C157" s="104" t="s">
        <v>77</v>
      </c>
      <c r="D157" s="104" t="s">
        <v>78</v>
      </c>
      <c r="E157" s="104" t="s">
        <v>10</v>
      </c>
      <c r="F157" s="104">
        <v>497936.5</v>
      </c>
      <c r="G157" s="104">
        <v>493436</v>
      </c>
      <c r="H157" s="104"/>
      <c r="I157" s="104"/>
      <c r="J157" s="104"/>
      <c r="K157" s="104"/>
      <c r="L157" s="104"/>
      <c r="M157" s="104">
        <v>0</v>
      </c>
      <c r="N157" s="104">
        <f t="shared" si="228"/>
        <v>0</v>
      </c>
      <c r="O157" s="104">
        <v>394749</v>
      </c>
      <c r="P157" s="104">
        <v>1</v>
      </c>
      <c r="Q157" s="26">
        <v>70000</v>
      </c>
      <c r="R157" s="104">
        <v>1</v>
      </c>
      <c r="S157" s="104">
        <f t="shared" si="138"/>
        <v>70000</v>
      </c>
      <c r="T157" s="104"/>
      <c r="U157" s="26">
        <f t="shared" si="233"/>
        <v>100000</v>
      </c>
      <c r="V157" s="113">
        <f t="shared" si="223"/>
        <v>1</v>
      </c>
      <c r="W157" s="41"/>
      <c r="X157" s="113">
        <f t="shared" si="224"/>
        <v>0</v>
      </c>
      <c r="Y157" s="113">
        <v>100000</v>
      </c>
      <c r="Z157" s="113">
        <f t="shared" si="225"/>
        <v>1</v>
      </c>
      <c r="AA157" s="118">
        <v>-100000</v>
      </c>
      <c r="AB157" s="122"/>
      <c r="AC157" s="26">
        <f t="shared" si="234"/>
        <v>0</v>
      </c>
      <c r="AD157" s="104">
        <f t="shared" si="234"/>
        <v>0</v>
      </c>
      <c r="AE157" s="41"/>
      <c r="AF157" s="104">
        <f t="shared" si="226"/>
        <v>0</v>
      </c>
      <c r="AG157" s="104"/>
      <c r="AH157" s="104">
        <f t="shared" si="227"/>
        <v>0</v>
      </c>
      <c r="AI157" s="104">
        <f t="shared" si="229"/>
        <v>0</v>
      </c>
      <c r="AJ157" s="104"/>
      <c r="AK157" s="104">
        <v>1</v>
      </c>
      <c r="AL157" s="104">
        <v>324749</v>
      </c>
      <c r="AM157" s="104">
        <v>1</v>
      </c>
      <c r="AN157" s="104">
        <f t="shared" si="145"/>
        <v>-99970</v>
      </c>
      <c r="AO157" s="104"/>
      <c r="AP157" s="113">
        <f t="shared" si="230"/>
        <v>100000</v>
      </c>
      <c r="AQ157" s="113"/>
      <c r="AR157" s="34">
        <f t="shared" si="232"/>
        <v>424719</v>
      </c>
      <c r="AS157" s="10">
        <f t="shared" si="232"/>
        <v>1</v>
      </c>
      <c r="AT157" s="10"/>
      <c r="AU157" s="10">
        <f t="shared" si="147"/>
        <v>0</v>
      </c>
      <c r="AV157" s="10">
        <f>324719+100000</f>
        <v>424719</v>
      </c>
      <c r="AW157" s="10">
        <f t="shared" si="154"/>
        <v>1</v>
      </c>
      <c r="AX157" s="10">
        <f t="shared" si="231"/>
        <v>106179.75</v>
      </c>
      <c r="AY157" s="10">
        <v>1</v>
      </c>
      <c r="AZ157" s="10"/>
      <c r="BA157" s="10">
        <v>0</v>
      </c>
      <c r="BB157" s="10">
        <v>0</v>
      </c>
      <c r="BC157" s="10">
        <f t="shared" si="135"/>
        <v>0</v>
      </c>
      <c r="BD157" s="10"/>
      <c r="BE157" s="26">
        <f t="shared" si="212"/>
        <v>0</v>
      </c>
      <c r="BF157" s="104">
        <f t="shared" si="212"/>
        <v>0</v>
      </c>
      <c r="BG157" s="104"/>
      <c r="BH157" s="104">
        <f t="shared" si="213"/>
        <v>0</v>
      </c>
      <c r="BI157" s="104"/>
      <c r="BJ157" s="104">
        <f t="shared" si="150"/>
        <v>0</v>
      </c>
      <c r="BK157" s="104"/>
      <c r="BL157" s="104"/>
      <c r="BM157" s="104"/>
      <c r="BN157" s="104" t="s">
        <v>80</v>
      </c>
      <c r="BO157" s="104" t="s">
        <v>1609</v>
      </c>
      <c r="BP157" s="104" t="s">
        <v>79</v>
      </c>
      <c r="BQ157" s="104" t="s">
        <v>81</v>
      </c>
      <c r="BR157" s="104" t="s">
        <v>82</v>
      </c>
      <c r="BS157" s="104" t="s">
        <v>1610</v>
      </c>
      <c r="BT157" s="55" t="s">
        <v>979</v>
      </c>
      <c r="BU157" s="29"/>
      <c r="BV157" s="29"/>
      <c r="BW157" s="29"/>
      <c r="BX157" s="29"/>
      <c r="BY157" s="29"/>
    </row>
    <row r="158" spans="1:77" s="30" customFormat="1" ht="33" customHeight="1" outlineLevel="1" x14ac:dyDescent="0.25">
      <c r="A158" s="49"/>
      <c r="B158" s="59">
        <v>9</v>
      </c>
      <c r="C158" s="104" t="s">
        <v>83</v>
      </c>
      <c r="D158" s="104" t="s">
        <v>84</v>
      </c>
      <c r="E158" s="104" t="s">
        <v>10</v>
      </c>
      <c r="F158" s="104">
        <v>314398</v>
      </c>
      <c r="G158" s="104">
        <v>310107.90000000002</v>
      </c>
      <c r="H158" s="104"/>
      <c r="I158" s="104"/>
      <c r="J158" s="104"/>
      <c r="K158" s="104"/>
      <c r="L158" s="104"/>
      <c r="M158" s="104">
        <v>0</v>
      </c>
      <c r="N158" s="104">
        <f t="shared" si="228"/>
        <v>0</v>
      </c>
      <c r="O158" s="104">
        <v>248086</v>
      </c>
      <c r="P158" s="104">
        <v>1</v>
      </c>
      <c r="Q158" s="26">
        <v>60000</v>
      </c>
      <c r="R158" s="104">
        <v>1</v>
      </c>
      <c r="S158" s="104">
        <f t="shared" si="138"/>
        <v>60000</v>
      </c>
      <c r="T158" s="104"/>
      <c r="U158" s="26">
        <f t="shared" si="233"/>
        <v>81671</v>
      </c>
      <c r="V158" s="113">
        <f t="shared" si="223"/>
        <v>1</v>
      </c>
      <c r="W158" s="113"/>
      <c r="X158" s="113">
        <f t="shared" si="224"/>
        <v>0</v>
      </c>
      <c r="Y158" s="113">
        <f>60000+53671-32000</f>
        <v>81671</v>
      </c>
      <c r="Z158" s="113">
        <f t="shared" si="225"/>
        <v>1</v>
      </c>
      <c r="AA158" s="118">
        <v>-81671</v>
      </c>
      <c r="AB158" s="122"/>
      <c r="AC158" s="26">
        <f t="shared" si="234"/>
        <v>0</v>
      </c>
      <c r="AD158" s="104">
        <f t="shared" si="234"/>
        <v>0</v>
      </c>
      <c r="AE158" s="104"/>
      <c r="AF158" s="104">
        <f t="shared" si="226"/>
        <v>0</v>
      </c>
      <c r="AG158" s="104"/>
      <c r="AH158" s="104">
        <f t="shared" si="227"/>
        <v>0</v>
      </c>
      <c r="AI158" s="104">
        <f t="shared" si="229"/>
        <v>0</v>
      </c>
      <c r="AJ158" s="104"/>
      <c r="AK158" s="104">
        <v>1</v>
      </c>
      <c r="AL158" s="104">
        <v>188086</v>
      </c>
      <c r="AM158" s="104">
        <v>1</v>
      </c>
      <c r="AN158" s="104">
        <f t="shared" si="145"/>
        <v>-60000</v>
      </c>
      <c r="AO158" s="104"/>
      <c r="AP158" s="113">
        <f t="shared" si="230"/>
        <v>81671</v>
      </c>
      <c r="AQ158" s="113"/>
      <c r="AR158" s="34">
        <f t="shared" si="232"/>
        <v>248086</v>
      </c>
      <c r="AS158" s="10">
        <f t="shared" si="232"/>
        <v>1</v>
      </c>
      <c r="AT158" s="10"/>
      <c r="AU158" s="10">
        <f t="shared" si="147"/>
        <v>0</v>
      </c>
      <c r="AV158" s="10">
        <f>198086+50000</f>
        <v>248086</v>
      </c>
      <c r="AW158" s="10">
        <f t="shared" si="154"/>
        <v>1</v>
      </c>
      <c r="AX158" s="10">
        <f t="shared" si="231"/>
        <v>62021.5</v>
      </c>
      <c r="AY158" s="10">
        <v>1</v>
      </c>
      <c r="AZ158" s="10"/>
      <c r="BA158" s="10">
        <v>0</v>
      </c>
      <c r="BB158" s="10">
        <v>0</v>
      </c>
      <c r="BC158" s="10">
        <f t="shared" si="135"/>
        <v>0</v>
      </c>
      <c r="BD158" s="10"/>
      <c r="BE158" s="26">
        <f t="shared" si="212"/>
        <v>0</v>
      </c>
      <c r="BF158" s="104">
        <f t="shared" si="212"/>
        <v>0</v>
      </c>
      <c r="BG158" s="104"/>
      <c r="BH158" s="104">
        <f t="shared" si="213"/>
        <v>0</v>
      </c>
      <c r="BI158" s="104"/>
      <c r="BJ158" s="104">
        <f t="shared" si="150"/>
        <v>0</v>
      </c>
      <c r="BK158" s="104"/>
      <c r="BL158" s="104"/>
      <c r="BM158" s="104"/>
      <c r="BN158" s="104" t="s">
        <v>86</v>
      </c>
      <c r="BO158" s="104" t="s">
        <v>1611</v>
      </c>
      <c r="BP158" s="104" t="s">
        <v>85</v>
      </c>
      <c r="BQ158" s="104" t="s">
        <v>67</v>
      </c>
      <c r="BR158" s="104" t="s">
        <v>87</v>
      </c>
      <c r="BS158" s="104" t="s">
        <v>1612</v>
      </c>
      <c r="BT158" s="55" t="s">
        <v>1353</v>
      </c>
      <c r="BU158" s="29"/>
      <c r="BV158" s="29"/>
      <c r="BW158" s="29"/>
      <c r="BX158" s="29"/>
      <c r="BY158" s="29"/>
    </row>
    <row r="159" spans="1:77" s="30" customFormat="1" ht="34.5" customHeight="1" outlineLevel="1" x14ac:dyDescent="0.25">
      <c r="A159" s="49"/>
      <c r="B159" s="59">
        <v>10</v>
      </c>
      <c r="C159" s="104" t="s">
        <v>88</v>
      </c>
      <c r="D159" s="104" t="s">
        <v>89</v>
      </c>
      <c r="E159" s="104" t="s">
        <v>324</v>
      </c>
      <c r="F159" s="104">
        <v>157742</v>
      </c>
      <c r="G159" s="104">
        <v>155733.23000000001</v>
      </c>
      <c r="H159" s="104"/>
      <c r="I159" s="104"/>
      <c r="J159" s="104"/>
      <c r="K159" s="104">
        <v>1</v>
      </c>
      <c r="L159" s="104"/>
      <c r="M159" s="104">
        <v>0</v>
      </c>
      <c r="N159" s="104">
        <f t="shared" si="228"/>
        <v>0</v>
      </c>
      <c r="O159" s="104">
        <v>124586</v>
      </c>
      <c r="P159" s="104">
        <v>1</v>
      </c>
      <c r="Q159" s="26">
        <v>124586</v>
      </c>
      <c r="R159" s="104">
        <v>1</v>
      </c>
      <c r="S159" s="104">
        <f t="shared" si="138"/>
        <v>124586</v>
      </c>
      <c r="T159" s="104"/>
      <c r="U159" s="26">
        <f t="shared" si="233"/>
        <v>124586</v>
      </c>
      <c r="V159" s="113">
        <f t="shared" si="223"/>
        <v>1</v>
      </c>
      <c r="W159" s="113"/>
      <c r="X159" s="113">
        <f t="shared" si="224"/>
        <v>0</v>
      </c>
      <c r="Y159" s="113">
        <v>124586</v>
      </c>
      <c r="Z159" s="113">
        <f t="shared" si="225"/>
        <v>1</v>
      </c>
      <c r="AA159" s="118">
        <v>-124586</v>
      </c>
      <c r="AB159" s="122"/>
      <c r="AC159" s="26">
        <f t="shared" si="234"/>
        <v>0</v>
      </c>
      <c r="AD159" s="104">
        <f t="shared" si="234"/>
        <v>0</v>
      </c>
      <c r="AE159" s="104"/>
      <c r="AF159" s="104">
        <f t="shared" si="226"/>
        <v>0</v>
      </c>
      <c r="AG159" s="104"/>
      <c r="AH159" s="104">
        <f t="shared" si="227"/>
        <v>0</v>
      </c>
      <c r="AI159" s="104">
        <f t="shared" si="229"/>
        <v>0</v>
      </c>
      <c r="AJ159" s="104">
        <v>1</v>
      </c>
      <c r="AK159" s="104"/>
      <c r="AL159" s="104">
        <v>0</v>
      </c>
      <c r="AM159" s="104">
        <v>0</v>
      </c>
      <c r="AN159" s="104">
        <f t="shared" si="145"/>
        <v>-124586</v>
      </c>
      <c r="AO159" s="104"/>
      <c r="AP159" s="113">
        <f t="shared" si="230"/>
        <v>124586</v>
      </c>
      <c r="AQ159" s="113"/>
      <c r="AR159" s="34">
        <f t="shared" si="232"/>
        <v>124586</v>
      </c>
      <c r="AS159" s="10">
        <f t="shared" si="232"/>
        <v>1</v>
      </c>
      <c r="AT159" s="10"/>
      <c r="AU159" s="10">
        <f t="shared" si="147"/>
        <v>0</v>
      </c>
      <c r="AV159" s="10">
        <f>124586</f>
        <v>124586</v>
      </c>
      <c r="AW159" s="10">
        <f t="shared" si="154"/>
        <v>1</v>
      </c>
      <c r="AX159" s="10">
        <f t="shared" si="231"/>
        <v>31146.5</v>
      </c>
      <c r="AY159" s="10"/>
      <c r="AZ159" s="10"/>
      <c r="BA159" s="10">
        <v>0</v>
      </c>
      <c r="BB159" s="10">
        <v>0</v>
      </c>
      <c r="BC159" s="10">
        <f t="shared" si="135"/>
        <v>0</v>
      </c>
      <c r="BD159" s="10"/>
      <c r="BE159" s="26">
        <f t="shared" si="212"/>
        <v>0</v>
      </c>
      <c r="BF159" s="104">
        <f t="shared" si="212"/>
        <v>0</v>
      </c>
      <c r="BG159" s="104"/>
      <c r="BH159" s="104">
        <f t="shared" si="213"/>
        <v>0</v>
      </c>
      <c r="BI159" s="104"/>
      <c r="BJ159" s="104">
        <f t="shared" si="150"/>
        <v>0</v>
      </c>
      <c r="BK159" s="104"/>
      <c r="BL159" s="104"/>
      <c r="BM159" s="104"/>
      <c r="BN159" s="104" t="s">
        <v>91</v>
      </c>
      <c r="BO159" s="104" t="s">
        <v>1613</v>
      </c>
      <c r="BP159" s="104" t="s">
        <v>90</v>
      </c>
      <c r="BQ159" s="104" t="s">
        <v>92</v>
      </c>
      <c r="BR159" s="104" t="s">
        <v>94</v>
      </c>
      <c r="BS159" s="104" t="s">
        <v>93</v>
      </c>
      <c r="BT159" s="55" t="s">
        <v>980</v>
      </c>
      <c r="BU159" s="29"/>
      <c r="BV159" s="29"/>
      <c r="BW159" s="29"/>
      <c r="BX159" s="29"/>
      <c r="BY159" s="29"/>
    </row>
    <row r="160" spans="1:77" s="30" customFormat="1" ht="34.5" customHeight="1" outlineLevel="1" x14ac:dyDescent="0.25">
      <c r="A160" s="49"/>
      <c r="B160" s="59">
        <v>11</v>
      </c>
      <c r="C160" s="104" t="s">
        <v>95</v>
      </c>
      <c r="D160" s="104" t="s">
        <v>96</v>
      </c>
      <c r="E160" s="104" t="s">
        <v>324</v>
      </c>
      <c r="F160" s="104">
        <v>156860</v>
      </c>
      <c r="G160" s="104">
        <v>153619</v>
      </c>
      <c r="H160" s="104"/>
      <c r="I160" s="104"/>
      <c r="J160" s="104"/>
      <c r="K160" s="104">
        <v>1</v>
      </c>
      <c r="L160" s="104"/>
      <c r="M160" s="104"/>
      <c r="N160" s="104">
        <f t="shared" si="228"/>
        <v>0</v>
      </c>
      <c r="O160" s="104">
        <v>122895</v>
      </c>
      <c r="P160" s="104">
        <v>1</v>
      </c>
      <c r="Q160" s="26">
        <v>122895</v>
      </c>
      <c r="R160" s="104">
        <v>1</v>
      </c>
      <c r="S160" s="104">
        <f t="shared" si="138"/>
        <v>122895</v>
      </c>
      <c r="T160" s="104"/>
      <c r="U160" s="26">
        <f t="shared" si="233"/>
        <v>122895</v>
      </c>
      <c r="V160" s="113">
        <f t="shared" si="223"/>
        <v>1</v>
      </c>
      <c r="W160" s="113"/>
      <c r="X160" s="113">
        <f t="shared" si="224"/>
        <v>0</v>
      </c>
      <c r="Y160" s="113">
        <v>122895</v>
      </c>
      <c r="Z160" s="113">
        <f t="shared" si="225"/>
        <v>1</v>
      </c>
      <c r="AA160" s="118">
        <v>-122895</v>
      </c>
      <c r="AB160" s="122"/>
      <c r="AC160" s="26">
        <f t="shared" si="234"/>
        <v>0</v>
      </c>
      <c r="AD160" s="104">
        <f t="shared" si="234"/>
        <v>0</v>
      </c>
      <c r="AE160" s="104"/>
      <c r="AF160" s="104">
        <f t="shared" si="226"/>
        <v>0</v>
      </c>
      <c r="AG160" s="104"/>
      <c r="AH160" s="104">
        <f t="shared" si="227"/>
        <v>0</v>
      </c>
      <c r="AI160" s="104">
        <f t="shared" si="229"/>
        <v>0</v>
      </c>
      <c r="AJ160" s="104">
        <v>1</v>
      </c>
      <c r="AK160" s="104"/>
      <c r="AL160" s="104">
        <v>0</v>
      </c>
      <c r="AM160" s="104">
        <v>0</v>
      </c>
      <c r="AN160" s="104">
        <f t="shared" si="145"/>
        <v>-122895</v>
      </c>
      <c r="AO160" s="104"/>
      <c r="AP160" s="113">
        <f t="shared" si="230"/>
        <v>122895</v>
      </c>
      <c r="AQ160" s="113"/>
      <c r="AR160" s="34">
        <f t="shared" si="232"/>
        <v>122895</v>
      </c>
      <c r="AS160" s="10">
        <f t="shared" si="232"/>
        <v>1</v>
      </c>
      <c r="AT160" s="10"/>
      <c r="AU160" s="10">
        <f t="shared" si="147"/>
        <v>0</v>
      </c>
      <c r="AV160" s="10">
        <f>122895</f>
        <v>122895</v>
      </c>
      <c r="AW160" s="10">
        <f t="shared" si="154"/>
        <v>1</v>
      </c>
      <c r="AX160" s="10">
        <f t="shared" si="231"/>
        <v>30723.75</v>
      </c>
      <c r="AY160" s="10"/>
      <c r="AZ160" s="10"/>
      <c r="BA160" s="10">
        <v>0</v>
      </c>
      <c r="BB160" s="10">
        <v>0</v>
      </c>
      <c r="BC160" s="10">
        <f t="shared" si="135"/>
        <v>0</v>
      </c>
      <c r="BD160" s="10"/>
      <c r="BE160" s="26">
        <f t="shared" si="212"/>
        <v>0</v>
      </c>
      <c r="BF160" s="104">
        <f t="shared" si="212"/>
        <v>0</v>
      </c>
      <c r="BG160" s="104"/>
      <c r="BH160" s="104">
        <f t="shared" si="213"/>
        <v>0</v>
      </c>
      <c r="BI160" s="104"/>
      <c r="BJ160" s="104">
        <f t="shared" si="150"/>
        <v>0</v>
      </c>
      <c r="BK160" s="104"/>
      <c r="BL160" s="104"/>
      <c r="BM160" s="104"/>
      <c r="BN160" s="104" t="s">
        <v>97</v>
      </c>
      <c r="BO160" s="104" t="s">
        <v>1614</v>
      </c>
      <c r="BP160" s="104" t="s">
        <v>1354</v>
      </c>
      <c r="BQ160" s="104" t="s">
        <v>98</v>
      </c>
      <c r="BR160" s="104" t="s">
        <v>99</v>
      </c>
      <c r="BS160" s="104" t="s">
        <v>1615</v>
      </c>
      <c r="BT160" s="55" t="s">
        <v>981</v>
      </c>
      <c r="BU160" s="29"/>
      <c r="BV160" s="29"/>
      <c r="BW160" s="29"/>
      <c r="BX160" s="29"/>
      <c r="BY160" s="29"/>
    </row>
    <row r="161" spans="1:77" s="30" customFormat="1" ht="35.25" customHeight="1" outlineLevel="1" x14ac:dyDescent="0.25">
      <c r="A161" s="49"/>
      <c r="B161" s="59">
        <v>12</v>
      </c>
      <c r="C161" s="104" t="s">
        <v>1355</v>
      </c>
      <c r="D161" s="104" t="s">
        <v>1116</v>
      </c>
      <c r="E161" s="104" t="s">
        <v>10</v>
      </c>
      <c r="F161" s="104">
        <v>305302.24</v>
      </c>
      <c r="G161" s="104">
        <v>291132.24</v>
      </c>
      <c r="H161" s="104"/>
      <c r="I161" s="104"/>
      <c r="J161" s="104"/>
      <c r="K161" s="104"/>
      <c r="L161" s="104"/>
      <c r="M161" s="104">
        <v>0</v>
      </c>
      <c r="N161" s="104">
        <f t="shared" si="228"/>
        <v>0</v>
      </c>
      <c r="O161" s="104">
        <v>232906</v>
      </c>
      <c r="P161" s="104">
        <v>1</v>
      </c>
      <c r="Q161" s="26">
        <v>89983</v>
      </c>
      <c r="R161" s="104">
        <v>1</v>
      </c>
      <c r="S161" s="104">
        <f t="shared" si="138"/>
        <v>89983</v>
      </c>
      <c r="T161" s="104"/>
      <c r="U161" s="26">
        <f t="shared" si="233"/>
        <v>89983</v>
      </c>
      <c r="V161" s="113">
        <f t="shared" si="223"/>
        <v>1</v>
      </c>
      <c r="W161" s="113"/>
      <c r="X161" s="113">
        <f t="shared" si="224"/>
        <v>0</v>
      </c>
      <c r="Y161" s="113">
        <v>89983</v>
      </c>
      <c r="Z161" s="113">
        <f t="shared" si="225"/>
        <v>1</v>
      </c>
      <c r="AA161" s="118">
        <v>-89983</v>
      </c>
      <c r="AB161" s="122"/>
      <c r="AC161" s="26">
        <f t="shared" si="234"/>
        <v>0</v>
      </c>
      <c r="AD161" s="104">
        <f t="shared" si="234"/>
        <v>0</v>
      </c>
      <c r="AE161" s="104"/>
      <c r="AF161" s="104">
        <f t="shared" si="226"/>
        <v>0</v>
      </c>
      <c r="AG161" s="104"/>
      <c r="AH161" s="104">
        <f t="shared" si="227"/>
        <v>0</v>
      </c>
      <c r="AI161" s="104">
        <f t="shared" si="229"/>
        <v>0</v>
      </c>
      <c r="AJ161" s="104"/>
      <c r="AK161" s="104">
        <v>1</v>
      </c>
      <c r="AL161" s="104">
        <v>142923</v>
      </c>
      <c r="AM161" s="104">
        <v>1</v>
      </c>
      <c r="AN161" s="104">
        <f t="shared" ref="AN161:AN220" si="235">AL161-AR161</f>
        <v>-89983</v>
      </c>
      <c r="AO161" s="104"/>
      <c r="AP161" s="113">
        <f t="shared" si="230"/>
        <v>89983</v>
      </c>
      <c r="AQ161" s="113"/>
      <c r="AR161" s="34">
        <f t="shared" si="232"/>
        <v>232906</v>
      </c>
      <c r="AS161" s="10">
        <f t="shared" si="232"/>
        <v>1</v>
      </c>
      <c r="AT161" s="10"/>
      <c r="AU161" s="10">
        <f t="shared" si="147"/>
        <v>0</v>
      </c>
      <c r="AV161" s="10">
        <f>182906+50000</f>
        <v>232906</v>
      </c>
      <c r="AW161" s="10">
        <f t="shared" si="154"/>
        <v>1</v>
      </c>
      <c r="AX161" s="10">
        <f t="shared" si="231"/>
        <v>58226.5</v>
      </c>
      <c r="AY161" s="10">
        <v>1</v>
      </c>
      <c r="AZ161" s="10"/>
      <c r="BA161" s="10">
        <v>0</v>
      </c>
      <c r="BB161" s="10">
        <v>0</v>
      </c>
      <c r="BC161" s="10">
        <f t="shared" ref="BC161:BC220" si="236">BA161-BE161</f>
        <v>0</v>
      </c>
      <c r="BD161" s="10"/>
      <c r="BE161" s="26">
        <f t="shared" si="212"/>
        <v>0</v>
      </c>
      <c r="BF161" s="104">
        <f t="shared" si="212"/>
        <v>0</v>
      </c>
      <c r="BG161" s="104"/>
      <c r="BH161" s="104">
        <f t="shared" si="213"/>
        <v>0</v>
      </c>
      <c r="BI161" s="104"/>
      <c r="BJ161" s="104">
        <f t="shared" si="150"/>
        <v>0</v>
      </c>
      <c r="BK161" s="104"/>
      <c r="BL161" s="104"/>
      <c r="BM161" s="104"/>
      <c r="BN161" s="104" t="s">
        <v>1356</v>
      </c>
      <c r="BO161" s="104" t="s">
        <v>849</v>
      </c>
      <c r="BP161" s="104" t="s">
        <v>1115</v>
      </c>
      <c r="BQ161" s="104" t="s">
        <v>1114</v>
      </c>
      <c r="BR161" s="104" t="s">
        <v>1113</v>
      </c>
      <c r="BS161" s="104" t="s">
        <v>1616</v>
      </c>
      <c r="BT161" s="55" t="s">
        <v>1357</v>
      </c>
      <c r="BU161" s="29"/>
      <c r="BV161" s="29"/>
      <c r="BW161" s="29"/>
      <c r="BX161" s="29"/>
      <c r="BY161" s="29"/>
    </row>
    <row r="162" spans="1:77" s="30" customFormat="1" ht="36" customHeight="1" outlineLevel="1" x14ac:dyDescent="0.25">
      <c r="A162" s="49"/>
      <c r="B162" s="59">
        <v>13</v>
      </c>
      <c r="C162" s="104" t="s">
        <v>835</v>
      </c>
      <c r="D162" s="104" t="s">
        <v>1216</v>
      </c>
      <c r="E162" s="104" t="s">
        <v>324</v>
      </c>
      <c r="F162" s="104">
        <v>208764</v>
      </c>
      <c r="G162" s="104">
        <v>205174</v>
      </c>
      <c r="H162" s="104"/>
      <c r="I162" s="104"/>
      <c r="J162" s="104"/>
      <c r="K162" s="104">
        <v>1</v>
      </c>
      <c r="L162" s="104"/>
      <c r="M162" s="104">
        <v>0</v>
      </c>
      <c r="N162" s="104">
        <f t="shared" si="228"/>
        <v>0</v>
      </c>
      <c r="O162" s="104">
        <v>164139</v>
      </c>
      <c r="P162" s="104">
        <v>1</v>
      </c>
      <c r="Q162" s="26">
        <v>164139</v>
      </c>
      <c r="R162" s="104">
        <v>1</v>
      </c>
      <c r="S162" s="104">
        <f t="shared" ref="S162:S174" si="237">Q162-AC162</f>
        <v>164139</v>
      </c>
      <c r="T162" s="104"/>
      <c r="U162" s="26">
        <f t="shared" si="233"/>
        <v>164139</v>
      </c>
      <c r="V162" s="113">
        <f t="shared" si="223"/>
        <v>1</v>
      </c>
      <c r="W162" s="113"/>
      <c r="X162" s="113">
        <f t="shared" si="224"/>
        <v>0</v>
      </c>
      <c r="Y162" s="113">
        <v>164139</v>
      </c>
      <c r="Z162" s="113">
        <f t="shared" si="225"/>
        <v>1</v>
      </c>
      <c r="AA162" s="118">
        <v>-164139</v>
      </c>
      <c r="AB162" s="122"/>
      <c r="AC162" s="26">
        <f t="shared" si="234"/>
        <v>0</v>
      </c>
      <c r="AD162" s="104">
        <f t="shared" si="234"/>
        <v>0</v>
      </c>
      <c r="AE162" s="104"/>
      <c r="AF162" s="104">
        <f t="shared" si="226"/>
        <v>0</v>
      </c>
      <c r="AG162" s="104"/>
      <c r="AH162" s="104">
        <f t="shared" si="227"/>
        <v>0</v>
      </c>
      <c r="AI162" s="104">
        <f t="shared" si="229"/>
        <v>0</v>
      </c>
      <c r="AJ162" s="104">
        <v>1</v>
      </c>
      <c r="AK162" s="104"/>
      <c r="AL162" s="104">
        <v>0</v>
      </c>
      <c r="AM162" s="104">
        <v>0</v>
      </c>
      <c r="AN162" s="104">
        <f t="shared" si="235"/>
        <v>-164139</v>
      </c>
      <c r="AO162" s="104"/>
      <c r="AP162" s="113">
        <f t="shared" si="230"/>
        <v>164139</v>
      </c>
      <c r="AQ162" s="113"/>
      <c r="AR162" s="34">
        <f t="shared" si="232"/>
        <v>164139</v>
      </c>
      <c r="AS162" s="10">
        <f t="shared" si="232"/>
        <v>1</v>
      </c>
      <c r="AT162" s="10"/>
      <c r="AU162" s="10">
        <f t="shared" si="147"/>
        <v>0</v>
      </c>
      <c r="AV162" s="10">
        <f>114139+50000</f>
        <v>164139</v>
      </c>
      <c r="AW162" s="10">
        <f t="shared" si="154"/>
        <v>1</v>
      </c>
      <c r="AX162" s="10">
        <f t="shared" si="231"/>
        <v>41034.75</v>
      </c>
      <c r="AY162" s="10"/>
      <c r="AZ162" s="10"/>
      <c r="BA162" s="10">
        <v>0</v>
      </c>
      <c r="BB162" s="10">
        <v>0</v>
      </c>
      <c r="BC162" s="10">
        <f t="shared" si="236"/>
        <v>0</v>
      </c>
      <c r="BD162" s="10"/>
      <c r="BE162" s="26">
        <f t="shared" si="212"/>
        <v>0</v>
      </c>
      <c r="BF162" s="104">
        <f t="shared" si="212"/>
        <v>0</v>
      </c>
      <c r="BG162" s="104"/>
      <c r="BH162" s="104">
        <f t="shared" si="213"/>
        <v>0</v>
      </c>
      <c r="BI162" s="104"/>
      <c r="BJ162" s="104">
        <f t="shared" ref="BJ162:BJ174" si="238">IF(BI162,1,0)</f>
        <v>0</v>
      </c>
      <c r="BK162" s="104"/>
      <c r="BL162" s="104"/>
      <c r="BM162" s="104"/>
      <c r="BN162" s="104" t="s">
        <v>836</v>
      </c>
      <c r="BO162" s="104" t="s">
        <v>1617</v>
      </c>
      <c r="BP162" s="104" t="s">
        <v>1217</v>
      </c>
      <c r="BQ162" s="104" t="s">
        <v>1218</v>
      </c>
      <c r="BR162" s="104" t="s">
        <v>1219</v>
      </c>
      <c r="BS162" s="104" t="s">
        <v>1220</v>
      </c>
      <c r="BT162" s="55" t="s">
        <v>1352</v>
      </c>
      <c r="BU162" s="29"/>
      <c r="BV162" s="29"/>
      <c r="BW162" s="29"/>
      <c r="BX162" s="29"/>
      <c r="BY162" s="29"/>
    </row>
    <row r="163" spans="1:77" s="30" customFormat="1" ht="31.5" customHeight="1" outlineLevel="1" x14ac:dyDescent="0.25">
      <c r="A163" s="49"/>
      <c r="B163" s="59">
        <v>14</v>
      </c>
      <c r="C163" s="104" t="s">
        <v>1408</v>
      </c>
      <c r="D163" s="104" t="s">
        <v>1401</v>
      </c>
      <c r="E163" s="104">
        <v>2016</v>
      </c>
      <c r="F163" s="104">
        <v>180762</v>
      </c>
      <c r="G163" s="104">
        <v>172399</v>
      </c>
      <c r="H163" s="104"/>
      <c r="I163" s="104"/>
      <c r="J163" s="104"/>
      <c r="K163" s="104">
        <v>1</v>
      </c>
      <c r="L163" s="104"/>
      <c r="M163" s="104">
        <v>0</v>
      </c>
      <c r="N163" s="104">
        <f t="shared" si="228"/>
        <v>0</v>
      </c>
      <c r="O163" s="104">
        <v>137919</v>
      </c>
      <c r="P163" s="104">
        <v>1</v>
      </c>
      <c r="Q163" s="26">
        <v>0</v>
      </c>
      <c r="R163" s="104">
        <v>0</v>
      </c>
      <c r="S163" s="104">
        <f t="shared" si="237"/>
        <v>0</v>
      </c>
      <c r="T163" s="104"/>
      <c r="U163" s="26">
        <f t="shared" si="233"/>
        <v>0</v>
      </c>
      <c r="V163" s="113">
        <f t="shared" si="223"/>
        <v>0</v>
      </c>
      <c r="W163" s="41"/>
      <c r="X163" s="113">
        <f t="shared" si="224"/>
        <v>0</v>
      </c>
      <c r="Y163" s="41"/>
      <c r="Z163" s="113">
        <f t="shared" si="225"/>
        <v>0</v>
      </c>
      <c r="AA163" s="118">
        <v>0</v>
      </c>
      <c r="AB163" s="122"/>
      <c r="AC163" s="26">
        <f t="shared" si="234"/>
        <v>0</v>
      </c>
      <c r="AD163" s="104">
        <f t="shared" si="234"/>
        <v>0</v>
      </c>
      <c r="AE163" s="41"/>
      <c r="AF163" s="104">
        <f t="shared" si="226"/>
        <v>0</v>
      </c>
      <c r="AG163" s="41"/>
      <c r="AH163" s="104">
        <f t="shared" si="227"/>
        <v>0</v>
      </c>
      <c r="AI163" s="104">
        <f t="shared" si="229"/>
        <v>0</v>
      </c>
      <c r="AJ163" s="104"/>
      <c r="AK163" s="104"/>
      <c r="AL163" s="104">
        <v>137919</v>
      </c>
      <c r="AM163" s="104">
        <v>1</v>
      </c>
      <c r="AN163" s="104">
        <f t="shared" si="235"/>
        <v>0</v>
      </c>
      <c r="AO163" s="104"/>
      <c r="AP163" s="113">
        <f t="shared" si="230"/>
        <v>0</v>
      </c>
      <c r="AQ163" s="113"/>
      <c r="AR163" s="34">
        <f t="shared" si="232"/>
        <v>137919</v>
      </c>
      <c r="AS163" s="10">
        <f t="shared" si="232"/>
        <v>1</v>
      </c>
      <c r="AT163" s="10"/>
      <c r="AU163" s="10">
        <f t="shared" ref="AU163:AU174" si="239">IF(AT163,1,0)</f>
        <v>0</v>
      </c>
      <c r="AV163" s="10">
        <v>137919</v>
      </c>
      <c r="AW163" s="10">
        <f t="shared" ref="AW163:AW173" si="240">IF(AV163,1,0)</f>
        <v>1</v>
      </c>
      <c r="AX163" s="10">
        <f t="shared" si="231"/>
        <v>34479.75</v>
      </c>
      <c r="AY163" s="10">
        <v>1</v>
      </c>
      <c r="AZ163" s="10"/>
      <c r="BA163" s="10">
        <v>0</v>
      </c>
      <c r="BB163" s="10">
        <v>0</v>
      </c>
      <c r="BC163" s="10">
        <f t="shared" si="236"/>
        <v>0</v>
      </c>
      <c r="BD163" s="10"/>
      <c r="BE163" s="26">
        <f t="shared" si="212"/>
        <v>0</v>
      </c>
      <c r="BF163" s="104">
        <f t="shared" si="212"/>
        <v>0</v>
      </c>
      <c r="BG163" s="104"/>
      <c r="BH163" s="104">
        <f t="shared" si="213"/>
        <v>0</v>
      </c>
      <c r="BI163" s="104"/>
      <c r="BJ163" s="104">
        <f t="shared" si="238"/>
        <v>0</v>
      </c>
      <c r="BK163" s="104"/>
      <c r="BL163" s="104"/>
      <c r="BM163" s="104"/>
      <c r="BN163" s="104" t="s">
        <v>1402</v>
      </c>
      <c r="BO163" s="104" t="s">
        <v>837</v>
      </c>
      <c r="BP163" s="104" t="s">
        <v>1403</v>
      </c>
      <c r="BQ163" s="104" t="s">
        <v>1404</v>
      </c>
      <c r="BR163" s="104" t="s">
        <v>1405</v>
      </c>
      <c r="BS163" s="104" t="s">
        <v>1406</v>
      </c>
      <c r="BT163" s="55" t="s">
        <v>1407</v>
      </c>
      <c r="BU163" s="29"/>
      <c r="BV163" s="29"/>
      <c r="BW163" s="29"/>
      <c r="BX163" s="29"/>
      <c r="BY163" s="29"/>
    </row>
    <row r="164" spans="1:77" s="30" customFormat="1" ht="56.25" customHeight="1" outlineLevel="1" x14ac:dyDescent="0.25">
      <c r="A164" s="49"/>
      <c r="B164" s="59">
        <v>15</v>
      </c>
      <c r="C164" s="104" t="s">
        <v>1781</v>
      </c>
      <c r="D164" s="104" t="s">
        <v>1716</v>
      </c>
      <c r="E164" s="104">
        <v>2016</v>
      </c>
      <c r="F164" s="104">
        <v>396827</v>
      </c>
      <c r="G164" s="104">
        <v>372382</v>
      </c>
      <c r="H164" s="104"/>
      <c r="I164" s="104"/>
      <c r="J164" s="104"/>
      <c r="K164" s="104"/>
      <c r="L164" s="104"/>
      <c r="M164" s="104"/>
      <c r="N164" s="104">
        <f t="shared" si="228"/>
        <v>0</v>
      </c>
      <c r="O164" s="104">
        <v>0</v>
      </c>
      <c r="P164" s="104">
        <v>0</v>
      </c>
      <c r="Q164" s="26">
        <v>0</v>
      </c>
      <c r="R164" s="104">
        <v>0</v>
      </c>
      <c r="S164" s="104">
        <f t="shared" si="237"/>
        <v>0</v>
      </c>
      <c r="T164" s="104"/>
      <c r="U164" s="26">
        <f t="shared" si="233"/>
        <v>0</v>
      </c>
      <c r="V164" s="113">
        <f t="shared" si="223"/>
        <v>0</v>
      </c>
      <c r="W164" s="41"/>
      <c r="X164" s="113">
        <f t="shared" si="224"/>
        <v>0</v>
      </c>
      <c r="Y164" s="41"/>
      <c r="Z164" s="113">
        <f t="shared" si="225"/>
        <v>0</v>
      </c>
      <c r="AA164" s="118">
        <v>0</v>
      </c>
      <c r="AB164" s="122"/>
      <c r="AC164" s="26">
        <f t="shared" si="234"/>
        <v>0</v>
      </c>
      <c r="AD164" s="104">
        <f t="shared" si="234"/>
        <v>0</v>
      </c>
      <c r="AE164" s="41"/>
      <c r="AF164" s="104">
        <f t="shared" si="226"/>
        <v>0</v>
      </c>
      <c r="AG164" s="41"/>
      <c r="AH164" s="104">
        <f t="shared" si="227"/>
        <v>0</v>
      </c>
      <c r="AI164" s="104">
        <f t="shared" si="229"/>
        <v>0</v>
      </c>
      <c r="AJ164" s="104"/>
      <c r="AK164" s="104"/>
      <c r="AL164" s="104">
        <v>0</v>
      </c>
      <c r="AM164" s="104">
        <v>0</v>
      </c>
      <c r="AN164" s="104">
        <f t="shared" si="235"/>
        <v>-297906</v>
      </c>
      <c r="AO164" s="104"/>
      <c r="AP164" s="113">
        <f t="shared" si="230"/>
        <v>0</v>
      </c>
      <c r="AQ164" s="113"/>
      <c r="AR164" s="34">
        <f t="shared" si="232"/>
        <v>297906</v>
      </c>
      <c r="AS164" s="10">
        <f t="shared" si="232"/>
        <v>1</v>
      </c>
      <c r="AT164" s="10"/>
      <c r="AU164" s="10">
        <f t="shared" si="239"/>
        <v>0</v>
      </c>
      <c r="AV164" s="10">
        <v>297906</v>
      </c>
      <c r="AW164" s="10">
        <f t="shared" si="240"/>
        <v>1</v>
      </c>
      <c r="AX164" s="10">
        <f t="shared" si="231"/>
        <v>74476.5</v>
      </c>
      <c r="AY164" s="10"/>
      <c r="AZ164" s="10">
        <v>1</v>
      </c>
      <c r="BA164" s="10">
        <v>337428</v>
      </c>
      <c r="BB164" s="10">
        <v>1</v>
      </c>
      <c r="BC164" s="10">
        <f t="shared" si="236"/>
        <v>337428</v>
      </c>
      <c r="BD164" s="10"/>
      <c r="BE164" s="26">
        <f t="shared" si="212"/>
        <v>0</v>
      </c>
      <c r="BF164" s="104">
        <f t="shared" si="212"/>
        <v>0</v>
      </c>
      <c r="BG164" s="104"/>
      <c r="BH164" s="104">
        <f t="shared" si="213"/>
        <v>0</v>
      </c>
      <c r="BI164" s="104"/>
      <c r="BJ164" s="104">
        <f t="shared" si="238"/>
        <v>0</v>
      </c>
      <c r="BK164" s="104"/>
      <c r="BL164" s="104"/>
      <c r="BM164" s="104"/>
      <c r="BN164" s="104" t="s">
        <v>1782</v>
      </c>
      <c r="BO164" s="104" t="s">
        <v>1786</v>
      </c>
      <c r="BP164" s="104" t="s">
        <v>1783</v>
      </c>
      <c r="BQ164" s="104" t="s">
        <v>1784</v>
      </c>
      <c r="BR164" s="104" t="s">
        <v>1785</v>
      </c>
      <c r="BS164" s="104" t="s">
        <v>1788</v>
      </c>
      <c r="BT164" s="55" t="s">
        <v>1787</v>
      </c>
      <c r="BU164" s="29"/>
      <c r="BV164" s="29"/>
      <c r="BW164" s="29"/>
      <c r="BX164" s="29"/>
      <c r="BY164" s="29"/>
    </row>
    <row r="165" spans="1:77" s="30" customFormat="1" ht="37.5" customHeight="1" outlineLevel="1" x14ac:dyDescent="0.25">
      <c r="A165" s="49"/>
      <c r="B165" s="59">
        <v>16</v>
      </c>
      <c r="C165" s="104" t="s">
        <v>839</v>
      </c>
      <c r="D165" s="104" t="s">
        <v>1394</v>
      </c>
      <c r="E165" s="104">
        <v>2016</v>
      </c>
      <c r="F165" s="104">
        <v>227837</v>
      </c>
      <c r="G165" s="104">
        <v>214683</v>
      </c>
      <c r="H165" s="104"/>
      <c r="I165" s="104"/>
      <c r="J165" s="104"/>
      <c r="K165" s="104"/>
      <c r="L165" s="104"/>
      <c r="M165" s="104">
        <v>0</v>
      </c>
      <c r="N165" s="104">
        <f t="shared" si="228"/>
        <v>0</v>
      </c>
      <c r="O165" s="104">
        <v>171746</v>
      </c>
      <c r="P165" s="104">
        <v>1</v>
      </c>
      <c r="Q165" s="26">
        <v>0</v>
      </c>
      <c r="R165" s="104">
        <v>0</v>
      </c>
      <c r="S165" s="104">
        <f t="shared" si="237"/>
        <v>0</v>
      </c>
      <c r="T165" s="104"/>
      <c r="U165" s="26">
        <f t="shared" si="233"/>
        <v>0</v>
      </c>
      <c r="V165" s="113">
        <f t="shared" si="223"/>
        <v>0</v>
      </c>
      <c r="W165" s="41"/>
      <c r="X165" s="113">
        <f t="shared" si="224"/>
        <v>0</v>
      </c>
      <c r="Y165" s="41"/>
      <c r="Z165" s="113">
        <f t="shared" si="225"/>
        <v>0</v>
      </c>
      <c r="AA165" s="118">
        <v>0</v>
      </c>
      <c r="AB165" s="122"/>
      <c r="AC165" s="26">
        <f t="shared" si="234"/>
        <v>0</v>
      </c>
      <c r="AD165" s="104">
        <f t="shared" si="234"/>
        <v>0</v>
      </c>
      <c r="AE165" s="41"/>
      <c r="AF165" s="104">
        <f t="shared" si="226"/>
        <v>0</v>
      </c>
      <c r="AG165" s="41"/>
      <c r="AH165" s="104">
        <f t="shared" si="227"/>
        <v>0</v>
      </c>
      <c r="AI165" s="104">
        <f t="shared" si="229"/>
        <v>0</v>
      </c>
      <c r="AJ165" s="104"/>
      <c r="AK165" s="104"/>
      <c r="AL165" s="104">
        <v>171746</v>
      </c>
      <c r="AM165" s="104">
        <v>1</v>
      </c>
      <c r="AN165" s="104">
        <f t="shared" si="235"/>
        <v>0</v>
      </c>
      <c r="AO165" s="104"/>
      <c r="AP165" s="113">
        <f t="shared" si="230"/>
        <v>0</v>
      </c>
      <c r="AQ165" s="113"/>
      <c r="AR165" s="34">
        <f t="shared" si="232"/>
        <v>171746</v>
      </c>
      <c r="AS165" s="10">
        <f t="shared" si="232"/>
        <v>1</v>
      </c>
      <c r="AT165" s="10"/>
      <c r="AU165" s="10">
        <f t="shared" si="239"/>
        <v>0</v>
      </c>
      <c r="AV165" s="10">
        <f>121746+50000</f>
        <v>171746</v>
      </c>
      <c r="AW165" s="10">
        <f t="shared" si="240"/>
        <v>1</v>
      </c>
      <c r="AX165" s="10">
        <f t="shared" si="231"/>
        <v>42936.5</v>
      </c>
      <c r="AY165" s="10">
        <v>1</v>
      </c>
      <c r="AZ165" s="10"/>
      <c r="BA165" s="10">
        <v>0</v>
      </c>
      <c r="BB165" s="10">
        <v>0</v>
      </c>
      <c r="BC165" s="10">
        <f t="shared" si="236"/>
        <v>0</v>
      </c>
      <c r="BD165" s="10"/>
      <c r="BE165" s="26">
        <f t="shared" si="212"/>
        <v>0</v>
      </c>
      <c r="BF165" s="104">
        <f t="shared" si="212"/>
        <v>0</v>
      </c>
      <c r="BG165" s="104"/>
      <c r="BH165" s="104">
        <f t="shared" si="213"/>
        <v>0</v>
      </c>
      <c r="BI165" s="104"/>
      <c r="BJ165" s="104">
        <f t="shared" si="238"/>
        <v>0</v>
      </c>
      <c r="BK165" s="104"/>
      <c r="BL165" s="104"/>
      <c r="BM165" s="104"/>
      <c r="BN165" s="104" t="s">
        <v>1395</v>
      </c>
      <c r="BO165" s="104" t="s">
        <v>838</v>
      </c>
      <c r="BP165" s="104" t="s">
        <v>1396</v>
      </c>
      <c r="BQ165" s="104" t="s">
        <v>1397</v>
      </c>
      <c r="BR165" s="41" t="s">
        <v>1398</v>
      </c>
      <c r="BS165" s="104" t="s">
        <v>1399</v>
      </c>
      <c r="BT165" s="55" t="s">
        <v>1400</v>
      </c>
      <c r="BU165" s="29"/>
      <c r="BV165" s="29"/>
      <c r="BW165" s="29"/>
      <c r="BX165" s="29"/>
      <c r="BY165" s="29"/>
    </row>
    <row r="166" spans="1:77" s="30" customFormat="1" ht="30.75" customHeight="1" outlineLevel="1" x14ac:dyDescent="0.25">
      <c r="A166" s="49"/>
      <c r="B166" s="59">
        <v>17</v>
      </c>
      <c r="C166" s="104" t="s">
        <v>840</v>
      </c>
      <c r="D166" s="104" t="s">
        <v>1442</v>
      </c>
      <c r="E166" s="104">
        <v>2015</v>
      </c>
      <c r="F166" s="104">
        <v>393690</v>
      </c>
      <c r="G166" s="104">
        <v>384689.96</v>
      </c>
      <c r="H166" s="104"/>
      <c r="I166" s="104"/>
      <c r="J166" s="104"/>
      <c r="K166" s="104"/>
      <c r="L166" s="104"/>
      <c r="M166" s="104">
        <v>0</v>
      </c>
      <c r="N166" s="104">
        <f t="shared" si="228"/>
        <v>0</v>
      </c>
      <c r="O166" s="104">
        <v>200000</v>
      </c>
      <c r="P166" s="104">
        <v>1</v>
      </c>
      <c r="Q166" s="26">
        <v>307752</v>
      </c>
      <c r="R166" s="104">
        <v>1</v>
      </c>
      <c r="S166" s="104">
        <f t="shared" si="237"/>
        <v>307752</v>
      </c>
      <c r="T166" s="104"/>
      <c r="U166" s="26">
        <f t="shared" si="233"/>
        <v>307752</v>
      </c>
      <c r="V166" s="113">
        <f t="shared" si="223"/>
        <v>1</v>
      </c>
      <c r="W166" s="41"/>
      <c r="X166" s="113">
        <f t="shared" si="224"/>
        <v>0</v>
      </c>
      <c r="Y166" s="41">
        <v>307752</v>
      </c>
      <c r="Z166" s="113">
        <f t="shared" si="225"/>
        <v>1</v>
      </c>
      <c r="AA166" s="118">
        <v>-307752</v>
      </c>
      <c r="AB166" s="122"/>
      <c r="AC166" s="26">
        <f t="shared" si="234"/>
        <v>0</v>
      </c>
      <c r="AD166" s="104">
        <f t="shared" si="234"/>
        <v>0</v>
      </c>
      <c r="AE166" s="41"/>
      <c r="AF166" s="104">
        <f t="shared" si="226"/>
        <v>0</v>
      </c>
      <c r="AG166" s="41"/>
      <c r="AH166" s="104">
        <f t="shared" si="227"/>
        <v>0</v>
      </c>
      <c r="AI166" s="104">
        <f t="shared" si="229"/>
        <v>0</v>
      </c>
      <c r="AJ166" s="104">
        <v>1</v>
      </c>
      <c r="AK166" s="104"/>
      <c r="AL166" s="104">
        <v>0</v>
      </c>
      <c r="AM166" s="104">
        <v>0</v>
      </c>
      <c r="AN166" s="104">
        <f t="shared" si="235"/>
        <v>-307752</v>
      </c>
      <c r="AO166" s="104"/>
      <c r="AP166" s="113">
        <f t="shared" si="230"/>
        <v>307752</v>
      </c>
      <c r="AQ166" s="113"/>
      <c r="AR166" s="34">
        <f t="shared" si="232"/>
        <v>307752</v>
      </c>
      <c r="AS166" s="10">
        <f t="shared" si="232"/>
        <v>1</v>
      </c>
      <c r="AT166" s="10"/>
      <c r="AU166" s="10">
        <f t="shared" si="239"/>
        <v>0</v>
      </c>
      <c r="AV166" s="10">
        <f>307752</f>
        <v>307752</v>
      </c>
      <c r="AW166" s="10">
        <f t="shared" si="240"/>
        <v>1</v>
      </c>
      <c r="AX166" s="10">
        <f t="shared" si="231"/>
        <v>76938</v>
      </c>
      <c r="AY166" s="10"/>
      <c r="AZ166" s="10"/>
      <c r="BA166" s="10">
        <v>302818</v>
      </c>
      <c r="BB166" s="10">
        <v>1</v>
      </c>
      <c r="BC166" s="10">
        <f t="shared" si="236"/>
        <v>302818</v>
      </c>
      <c r="BD166" s="10"/>
      <c r="BE166" s="26">
        <f t="shared" si="212"/>
        <v>0</v>
      </c>
      <c r="BF166" s="104">
        <f t="shared" si="212"/>
        <v>0</v>
      </c>
      <c r="BG166" s="104"/>
      <c r="BH166" s="104">
        <f t="shared" si="213"/>
        <v>0</v>
      </c>
      <c r="BI166" s="104"/>
      <c r="BJ166" s="104">
        <f t="shared" si="238"/>
        <v>0</v>
      </c>
      <c r="BK166" s="104"/>
      <c r="BL166" s="104"/>
      <c r="BM166" s="104"/>
      <c r="BN166" s="104" t="s">
        <v>1823</v>
      </c>
      <c r="BO166" s="104" t="s">
        <v>841</v>
      </c>
      <c r="BP166" s="104" t="s">
        <v>1618</v>
      </c>
      <c r="BQ166" s="104" t="s">
        <v>1619</v>
      </c>
      <c r="BR166" s="104" t="s">
        <v>1620</v>
      </c>
      <c r="BS166" s="104" t="s">
        <v>1621</v>
      </c>
      <c r="BT166" s="55" t="s">
        <v>1622</v>
      </c>
      <c r="BU166" s="29"/>
      <c r="BV166" s="29"/>
      <c r="BW166" s="29"/>
      <c r="BX166" s="29"/>
      <c r="BY166" s="29"/>
    </row>
    <row r="167" spans="1:77" s="30" customFormat="1" ht="67.5" outlineLevel="1" x14ac:dyDescent="0.25">
      <c r="A167" s="49"/>
      <c r="B167" s="59">
        <v>18</v>
      </c>
      <c r="C167" s="104" t="s">
        <v>842</v>
      </c>
      <c r="D167" s="104" t="s">
        <v>1717</v>
      </c>
      <c r="E167" s="104">
        <v>2016</v>
      </c>
      <c r="F167" s="104">
        <v>209247</v>
      </c>
      <c r="G167" s="104">
        <v>202246</v>
      </c>
      <c r="H167" s="104"/>
      <c r="I167" s="104"/>
      <c r="J167" s="104"/>
      <c r="K167" s="104"/>
      <c r="L167" s="104"/>
      <c r="M167" s="104"/>
      <c r="N167" s="104">
        <f t="shared" si="228"/>
        <v>0</v>
      </c>
      <c r="O167" s="104">
        <v>0</v>
      </c>
      <c r="P167" s="104">
        <v>0</v>
      </c>
      <c r="Q167" s="26">
        <v>0</v>
      </c>
      <c r="R167" s="104">
        <v>0</v>
      </c>
      <c r="S167" s="104">
        <f t="shared" si="237"/>
        <v>0</v>
      </c>
      <c r="T167" s="104"/>
      <c r="U167" s="26">
        <f t="shared" si="233"/>
        <v>0</v>
      </c>
      <c r="V167" s="113">
        <f t="shared" si="223"/>
        <v>0</v>
      </c>
      <c r="W167" s="41"/>
      <c r="X167" s="113">
        <f t="shared" si="224"/>
        <v>0</v>
      </c>
      <c r="Y167" s="41"/>
      <c r="Z167" s="113">
        <f t="shared" si="225"/>
        <v>0</v>
      </c>
      <c r="AA167" s="118">
        <v>0</v>
      </c>
      <c r="AB167" s="122"/>
      <c r="AC167" s="26">
        <f t="shared" si="234"/>
        <v>0</v>
      </c>
      <c r="AD167" s="104">
        <f t="shared" si="234"/>
        <v>0</v>
      </c>
      <c r="AE167" s="41"/>
      <c r="AF167" s="104">
        <f t="shared" si="226"/>
        <v>0</v>
      </c>
      <c r="AG167" s="41"/>
      <c r="AH167" s="104">
        <f t="shared" si="227"/>
        <v>0</v>
      </c>
      <c r="AI167" s="104">
        <f t="shared" si="229"/>
        <v>0</v>
      </c>
      <c r="AJ167" s="104"/>
      <c r="AK167" s="104"/>
      <c r="AL167" s="104">
        <v>0</v>
      </c>
      <c r="AM167" s="104">
        <v>0</v>
      </c>
      <c r="AN167" s="104">
        <f t="shared" si="235"/>
        <v>-161797</v>
      </c>
      <c r="AO167" s="104"/>
      <c r="AP167" s="113">
        <f t="shared" si="230"/>
        <v>0</v>
      </c>
      <c r="AQ167" s="113"/>
      <c r="AR167" s="34">
        <f t="shared" si="232"/>
        <v>161797</v>
      </c>
      <c r="AS167" s="10">
        <f t="shared" si="232"/>
        <v>1</v>
      </c>
      <c r="AT167" s="10"/>
      <c r="AU167" s="10">
        <f t="shared" si="239"/>
        <v>0</v>
      </c>
      <c r="AV167" s="10">
        <v>161797</v>
      </c>
      <c r="AW167" s="10">
        <f t="shared" si="240"/>
        <v>1</v>
      </c>
      <c r="AX167" s="10">
        <f t="shared" si="231"/>
        <v>40449.25</v>
      </c>
      <c r="AY167" s="10">
        <v>1</v>
      </c>
      <c r="AZ167" s="10"/>
      <c r="BA167" s="10">
        <v>180266</v>
      </c>
      <c r="BB167" s="10">
        <v>1</v>
      </c>
      <c r="BC167" s="10">
        <f t="shared" si="236"/>
        <v>180266</v>
      </c>
      <c r="BD167" s="10"/>
      <c r="BE167" s="26">
        <f t="shared" si="212"/>
        <v>0</v>
      </c>
      <c r="BF167" s="104">
        <f t="shared" si="212"/>
        <v>0</v>
      </c>
      <c r="BG167" s="104"/>
      <c r="BH167" s="104">
        <f t="shared" si="213"/>
        <v>0</v>
      </c>
      <c r="BI167" s="104"/>
      <c r="BJ167" s="104">
        <f t="shared" si="238"/>
        <v>0</v>
      </c>
      <c r="BK167" s="104"/>
      <c r="BL167" s="104"/>
      <c r="BM167" s="104"/>
      <c r="BN167" s="104" t="s">
        <v>1789</v>
      </c>
      <c r="BO167" s="104" t="s">
        <v>1790</v>
      </c>
      <c r="BP167" s="104" t="s">
        <v>1791</v>
      </c>
      <c r="BQ167" s="104" t="s">
        <v>1792</v>
      </c>
      <c r="BR167" s="104" t="s">
        <v>1793</v>
      </c>
      <c r="BS167" s="104" t="s">
        <v>1794</v>
      </c>
      <c r="BT167" s="55" t="s">
        <v>1795</v>
      </c>
      <c r="BU167" s="29"/>
      <c r="BV167" s="29"/>
      <c r="BW167" s="29"/>
      <c r="BX167" s="29"/>
      <c r="BY167" s="29"/>
    </row>
    <row r="168" spans="1:77" s="30" customFormat="1" ht="33.75" customHeight="1" outlineLevel="1" x14ac:dyDescent="0.25">
      <c r="A168" s="49"/>
      <c r="B168" s="59">
        <v>19</v>
      </c>
      <c r="C168" s="104" t="s">
        <v>1371</v>
      </c>
      <c r="D168" s="104" t="s">
        <v>1372</v>
      </c>
      <c r="E168" s="104">
        <v>2016</v>
      </c>
      <c r="F168" s="104">
        <v>377185</v>
      </c>
      <c r="G168" s="104">
        <v>369849</v>
      </c>
      <c r="H168" s="104"/>
      <c r="I168" s="104"/>
      <c r="J168" s="104"/>
      <c r="K168" s="104"/>
      <c r="L168" s="104"/>
      <c r="M168" s="104">
        <v>0</v>
      </c>
      <c r="N168" s="104">
        <f t="shared" si="228"/>
        <v>0</v>
      </c>
      <c r="O168" s="104">
        <v>295879</v>
      </c>
      <c r="P168" s="104">
        <v>1</v>
      </c>
      <c r="Q168" s="26">
        <v>0</v>
      </c>
      <c r="R168" s="104">
        <v>0</v>
      </c>
      <c r="S168" s="104">
        <f t="shared" si="237"/>
        <v>0</v>
      </c>
      <c r="T168" s="104"/>
      <c r="U168" s="26">
        <f t="shared" si="233"/>
        <v>0</v>
      </c>
      <c r="V168" s="113">
        <f t="shared" si="223"/>
        <v>0</v>
      </c>
      <c r="W168" s="41"/>
      <c r="X168" s="113">
        <f t="shared" si="224"/>
        <v>0</v>
      </c>
      <c r="Y168" s="41"/>
      <c r="Z168" s="113">
        <f t="shared" si="225"/>
        <v>0</v>
      </c>
      <c r="AA168" s="118">
        <v>0</v>
      </c>
      <c r="AB168" s="122"/>
      <c r="AC168" s="26">
        <f t="shared" si="234"/>
        <v>0</v>
      </c>
      <c r="AD168" s="104">
        <f t="shared" si="234"/>
        <v>0</v>
      </c>
      <c r="AE168" s="41"/>
      <c r="AF168" s="104">
        <f t="shared" si="226"/>
        <v>0</v>
      </c>
      <c r="AG168" s="41"/>
      <c r="AH168" s="104">
        <f t="shared" si="227"/>
        <v>0</v>
      </c>
      <c r="AI168" s="104">
        <f t="shared" si="229"/>
        <v>0</v>
      </c>
      <c r="AJ168" s="104"/>
      <c r="AK168" s="104"/>
      <c r="AL168" s="104">
        <v>295879</v>
      </c>
      <c r="AM168" s="104">
        <v>1</v>
      </c>
      <c r="AN168" s="104">
        <f t="shared" si="235"/>
        <v>0</v>
      </c>
      <c r="AO168" s="104"/>
      <c r="AP168" s="113">
        <f t="shared" si="230"/>
        <v>0</v>
      </c>
      <c r="AQ168" s="113"/>
      <c r="AR168" s="34">
        <f t="shared" si="232"/>
        <v>295879</v>
      </c>
      <c r="AS168" s="10">
        <f t="shared" si="232"/>
        <v>1</v>
      </c>
      <c r="AT168" s="10"/>
      <c r="AU168" s="10">
        <f t="shared" si="239"/>
        <v>0</v>
      </c>
      <c r="AV168" s="10">
        <v>295879</v>
      </c>
      <c r="AW168" s="10">
        <f t="shared" si="240"/>
        <v>1</v>
      </c>
      <c r="AX168" s="10">
        <f t="shared" si="231"/>
        <v>73969.75</v>
      </c>
      <c r="AY168" s="10">
        <v>1</v>
      </c>
      <c r="AZ168" s="10"/>
      <c r="BA168" s="10">
        <v>0</v>
      </c>
      <c r="BB168" s="10">
        <v>0</v>
      </c>
      <c r="BC168" s="10">
        <f t="shared" si="236"/>
        <v>0</v>
      </c>
      <c r="BD168" s="10"/>
      <c r="BE168" s="26">
        <f t="shared" si="212"/>
        <v>0</v>
      </c>
      <c r="BF168" s="104">
        <f t="shared" si="212"/>
        <v>0</v>
      </c>
      <c r="BG168" s="104"/>
      <c r="BH168" s="104">
        <f t="shared" si="213"/>
        <v>0</v>
      </c>
      <c r="BI168" s="104"/>
      <c r="BJ168" s="104">
        <f t="shared" si="238"/>
        <v>0</v>
      </c>
      <c r="BK168" s="104"/>
      <c r="BL168" s="104"/>
      <c r="BM168" s="104"/>
      <c r="BN168" s="104" t="s">
        <v>1373</v>
      </c>
      <c r="BO168" s="104" t="s">
        <v>1623</v>
      </c>
      <c r="BP168" s="104" t="s">
        <v>1374</v>
      </c>
      <c r="BQ168" s="104" t="s">
        <v>1375</v>
      </c>
      <c r="BR168" s="104" t="s">
        <v>1376</v>
      </c>
      <c r="BS168" s="104" t="s">
        <v>1377</v>
      </c>
      <c r="BT168" s="55" t="s">
        <v>1378</v>
      </c>
      <c r="BU168" s="29"/>
      <c r="BV168" s="29"/>
      <c r="BW168" s="29"/>
      <c r="BX168" s="29"/>
      <c r="BY168" s="29"/>
    </row>
    <row r="169" spans="1:77" s="30" customFormat="1" ht="24" customHeight="1" outlineLevel="1" x14ac:dyDescent="0.25">
      <c r="A169" s="49"/>
      <c r="B169" s="59">
        <v>20</v>
      </c>
      <c r="C169" s="104" t="s">
        <v>844</v>
      </c>
      <c r="D169" s="104" t="s">
        <v>1440</v>
      </c>
      <c r="E169" s="104">
        <v>2015</v>
      </c>
      <c r="F169" s="104">
        <v>161533</v>
      </c>
      <c r="G169" s="104">
        <v>155230</v>
      </c>
      <c r="H169" s="104"/>
      <c r="I169" s="104"/>
      <c r="J169" s="104"/>
      <c r="K169" s="104">
        <v>1</v>
      </c>
      <c r="L169" s="104"/>
      <c r="M169" s="104">
        <v>0</v>
      </c>
      <c r="N169" s="104">
        <f t="shared" si="228"/>
        <v>0</v>
      </c>
      <c r="O169" s="104">
        <v>124184</v>
      </c>
      <c r="P169" s="104">
        <v>1</v>
      </c>
      <c r="Q169" s="26">
        <v>124184</v>
      </c>
      <c r="R169" s="104">
        <v>1</v>
      </c>
      <c r="S169" s="104">
        <f t="shared" si="237"/>
        <v>124184</v>
      </c>
      <c r="T169" s="104"/>
      <c r="U169" s="26">
        <f t="shared" si="233"/>
        <v>124184</v>
      </c>
      <c r="V169" s="113">
        <f t="shared" si="223"/>
        <v>1</v>
      </c>
      <c r="W169" s="41"/>
      <c r="X169" s="113">
        <f t="shared" si="224"/>
        <v>0</v>
      </c>
      <c r="Y169" s="41">
        <v>124184</v>
      </c>
      <c r="Z169" s="113">
        <f t="shared" si="225"/>
        <v>1</v>
      </c>
      <c r="AA169" s="118">
        <v>-124184</v>
      </c>
      <c r="AB169" s="122"/>
      <c r="AC169" s="26">
        <f t="shared" si="234"/>
        <v>0</v>
      </c>
      <c r="AD169" s="104">
        <f t="shared" si="234"/>
        <v>0</v>
      </c>
      <c r="AE169" s="41"/>
      <c r="AF169" s="104">
        <f t="shared" si="226"/>
        <v>0</v>
      </c>
      <c r="AG169" s="41"/>
      <c r="AH169" s="104">
        <f t="shared" si="227"/>
        <v>0</v>
      </c>
      <c r="AI169" s="104">
        <f t="shared" si="229"/>
        <v>0</v>
      </c>
      <c r="AJ169" s="104">
        <v>1</v>
      </c>
      <c r="AK169" s="104"/>
      <c r="AL169" s="104">
        <v>0</v>
      </c>
      <c r="AM169" s="104">
        <v>0</v>
      </c>
      <c r="AN169" s="104">
        <f t="shared" si="235"/>
        <v>-124184</v>
      </c>
      <c r="AO169" s="104"/>
      <c r="AP169" s="113">
        <f t="shared" si="230"/>
        <v>124184</v>
      </c>
      <c r="AQ169" s="113"/>
      <c r="AR169" s="34">
        <f t="shared" si="232"/>
        <v>124184</v>
      </c>
      <c r="AS169" s="10">
        <f t="shared" si="232"/>
        <v>1</v>
      </c>
      <c r="AT169" s="10"/>
      <c r="AU169" s="10">
        <f t="shared" si="239"/>
        <v>0</v>
      </c>
      <c r="AV169" s="10">
        <f>124184</f>
        <v>124184</v>
      </c>
      <c r="AW169" s="10">
        <f t="shared" si="240"/>
        <v>1</v>
      </c>
      <c r="AX169" s="10">
        <f t="shared" si="231"/>
        <v>31046</v>
      </c>
      <c r="AY169" s="10"/>
      <c r="AZ169" s="10"/>
      <c r="BA169" s="10">
        <v>0</v>
      </c>
      <c r="BB169" s="10">
        <v>0</v>
      </c>
      <c r="BC169" s="10">
        <f t="shared" si="236"/>
        <v>0</v>
      </c>
      <c r="BD169" s="10"/>
      <c r="BE169" s="26">
        <f t="shared" si="212"/>
        <v>0</v>
      </c>
      <c r="BF169" s="104">
        <f t="shared" si="212"/>
        <v>0</v>
      </c>
      <c r="BG169" s="104"/>
      <c r="BH169" s="104">
        <f t="shared" si="213"/>
        <v>0</v>
      </c>
      <c r="BI169" s="104"/>
      <c r="BJ169" s="104">
        <f t="shared" si="238"/>
        <v>0</v>
      </c>
      <c r="BK169" s="104"/>
      <c r="BL169" s="104"/>
      <c r="BM169" s="104"/>
      <c r="BN169" s="104" t="s">
        <v>1534</v>
      </c>
      <c r="BO169" s="104" t="s">
        <v>845</v>
      </c>
      <c r="BP169" s="104" t="s">
        <v>1535</v>
      </c>
      <c r="BQ169" s="104" t="s">
        <v>1536</v>
      </c>
      <c r="BR169" s="104" t="s">
        <v>1537</v>
      </c>
      <c r="BS169" s="104" t="s">
        <v>1538</v>
      </c>
      <c r="BT169" s="55" t="s">
        <v>1539</v>
      </c>
      <c r="BU169" s="29"/>
      <c r="BV169" s="29"/>
      <c r="BW169" s="29"/>
      <c r="BX169" s="29"/>
      <c r="BY169" s="29"/>
    </row>
    <row r="170" spans="1:77" s="30" customFormat="1" ht="32.25" customHeight="1" outlineLevel="1" x14ac:dyDescent="0.25">
      <c r="A170" s="49"/>
      <c r="B170" s="59">
        <v>21</v>
      </c>
      <c r="C170" s="104" t="s">
        <v>846</v>
      </c>
      <c r="D170" s="104" t="s">
        <v>1409</v>
      </c>
      <c r="E170" s="104">
        <v>2016</v>
      </c>
      <c r="F170" s="104">
        <v>202830</v>
      </c>
      <c r="G170" s="104">
        <v>196783</v>
      </c>
      <c r="H170" s="104"/>
      <c r="I170" s="104"/>
      <c r="J170" s="104"/>
      <c r="K170" s="104"/>
      <c r="L170" s="104"/>
      <c r="M170" s="104"/>
      <c r="N170" s="104">
        <f t="shared" si="228"/>
        <v>0</v>
      </c>
      <c r="O170" s="104">
        <v>157426</v>
      </c>
      <c r="P170" s="104">
        <v>1</v>
      </c>
      <c r="Q170" s="26">
        <v>0</v>
      </c>
      <c r="R170" s="104">
        <v>0</v>
      </c>
      <c r="S170" s="104">
        <f t="shared" si="237"/>
        <v>0</v>
      </c>
      <c r="T170" s="104"/>
      <c r="U170" s="26">
        <f t="shared" si="233"/>
        <v>0</v>
      </c>
      <c r="V170" s="113">
        <f t="shared" si="223"/>
        <v>0</v>
      </c>
      <c r="W170" s="41"/>
      <c r="X170" s="113">
        <f t="shared" si="224"/>
        <v>0</v>
      </c>
      <c r="Y170" s="41"/>
      <c r="Z170" s="113">
        <f t="shared" si="225"/>
        <v>0</v>
      </c>
      <c r="AA170" s="118">
        <v>0</v>
      </c>
      <c r="AB170" s="122"/>
      <c r="AC170" s="26">
        <f t="shared" si="234"/>
        <v>0</v>
      </c>
      <c r="AD170" s="104">
        <f t="shared" si="234"/>
        <v>0</v>
      </c>
      <c r="AE170" s="41"/>
      <c r="AF170" s="104">
        <f t="shared" si="226"/>
        <v>0</v>
      </c>
      <c r="AG170" s="41"/>
      <c r="AH170" s="104">
        <f t="shared" si="227"/>
        <v>0</v>
      </c>
      <c r="AI170" s="104">
        <f t="shared" si="229"/>
        <v>0</v>
      </c>
      <c r="AJ170" s="104"/>
      <c r="AK170" s="104"/>
      <c r="AL170" s="104">
        <v>157426</v>
      </c>
      <c r="AM170" s="104">
        <v>1</v>
      </c>
      <c r="AN170" s="104">
        <f t="shared" si="235"/>
        <v>0</v>
      </c>
      <c r="AO170" s="104"/>
      <c r="AP170" s="113">
        <f t="shared" si="230"/>
        <v>0</v>
      </c>
      <c r="AQ170" s="113"/>
      <c r="AR170" s="34">
        <f t="shared" si="232"/>
        <v>157426</v>
      </c>
      <c r="AS170" s="10">
        <f t="shared" si="232"/>
        <v>1</v>
      </c>
      <c r="AT170" s="10"/>
      <c r="AU170" s="10">
        <f t="shared" si="239"/>
        <v>0</v>
      </c>
      <c r="AV170" s="10">
        <v>157426</v>
      </c>
      <c r="AW170" s="10">
        <f t="shared" si="240"/>
        <v>1</v>
      </c>
      <c r="AX170" s="10">
        <f t="shared" si="231"/>
        <v>39356.5</v>
      </c>
      <c r="AY170" s="10">
        <v>1</v>
      </c>
      <c r="AZ170" s="10"/>
      <c r="BA170" s="10">
        <v>0</v>
      </c>
      <c r="BB170" s="10">
        <v>0</v>
      </c>
      <c r="BC170" s="10">
        <f t="shared" si="236"/>
        <v>0</v>
      </c>
      <c r="BD170" s="10"/>
      <c r="BE170" s="26">
        <f t="shared" si="212"/>
        <v>0</v>
      </c>
      <c r="BF170" s="104">
        <f t="shared" si="212"/>
        <v>0</v>
      </c>
      <c r="BG170" s="104"/>
      <c r="BH170" s="104">
        <f t="shared" si="213"/>
        <v>0</v>
      </c>
      <c r="BI170" s="104"/>
      <c r="BJ170" s="104">
        <f t="shared" si="238"/>
        <v>0</v>
      </c>
      <c r="BK170" s="104"/>
      <c r="BL170" s="104"/>
      <c r="BM170" s="104"/>
      <c r="BN170" s="104" t="s">
        <v>1410</v>
      </c>
      <c r="BO170" s="104" t="s">
        <v>843</v>
      </c>
      <c r="BP170" s="104" t="s">
        <v>1411</v>
      </c>
      <c r="BQ170" s="104" t="s">
        <v>1412</v>
      </c>
      <c r="BR170" s="104" t="s">
        <v>1413</v>
      </c>
      <c r="BS170" s="104" t="s">
        <v>1414</v>
      </c>
      <c r="BT170" s="55" t="s">
        <v>1415</v>
      </c>
      <c r="BU170" s="29"/>
      <c r="BV170" s="29"/>
      <c r="BW170" s="29"/>
      <c r="BX170" s="29"/>
      <c r="BY170" s="29"/>
    </row>
    <row r="171" spans="1:77" s="30" customFormat="1" ht="24.75" customHeight="1" outlineLevel="1" x14ac:dyDescent="0.25">
      <c r="A171" s="49"/>
      <c r="B171" s="59">
        <v>22</v>
      </c>
      <c r="C171" s="104" t="s">
        <v>848</v>
      </c>
      <c r="D171" s="104" t="s">
        <v>1387</v>
      </c>
      <c r="E171" s="104">
        <v>2015</v>
      </c>
      <c r="F171" s="104">
        <v>193237</v>
      </c>
      <c r="G171" s="104">
        <v>185431</v>
      </c>
      <c r="H171" s="104"/>
      <c r="I171" s="104"/>
      <c r="J171" s="104"/>
      <c r="K171" s="104"/>
      <c r="L171" s="104"/>
      <c r="M171" s="104">
        <v>0</v>
      </c>
      <c r="N171" s="104">
        <f t="shared" si="228"/>
        <v>0</v>
      </c>
      <c r="O171" s="104">
        <v>148345</v>
      </c>
      <c r="P171" s="104">
        <v>1</v>
      </c>
      <c r="Q171" s="26">
        <v>148345</v>
      </c>
      <c r="R171" s="104">
        <v>1</v>
      </c>
      <c r="S171" s="104">
        <f t="shared" si="237"/>
        <v>148345</v>
      </c>
      <c r="T171" s="104"/>
      <c r="U171" s="26">
        <f t="shared" si="233"/>
        <v>148345</v>
      </c>
      <c r="V171" s="113">
        <f t="shared" si="223"/>
        <v>1</v>
      </c>
      <c r="W171" s="41"/>
      <c r="X171" s="113">
        <f t="shared" si="224"/>
        <v>0</v>
      </c>
      <c r="Y171" s="41">
        <v>148345</v>
      </c>
      <c r="Z171" s="113">
        <f t="shared" si="225"/>
        <v>1</v>
      </c>
      <c r="AA171" s="118">
        <v>-148345</v>
      </c>
      <c r="AB171" s="122"/>
      <c r="AC171" s="26">
        <f t="shared" si="234"/>
        <v>0</v>
      </c>
      <c r="AD171" s="104">
        <f t="shared" si="234"/>
        <v>0</v>
      </c>
      <c r="AE171" s="41"/>
      <c r="AF171" s="104">
        <f t="shared" si="226"/>
        <v>0</v>
      </c>
      <c r="AG171" s="41"/>
      <c r="AH171" s="104">
        <f t="shared" si="227"/>
        <v>0</v>
      </c>
      <c r="AI171" s="104">
        <f t="shared" si="229"/>
        <v>0</v>
      </c>
      <c r="AJ171" s="104">
        <v>1</v>
      </c>
      <c r="AK171" s="104"/>
      <c r="AL171" s="104">
        <v>0</v>
      </c>
      <c r="AM171" s="104">
        <v>0</v>
      </c>
      <c r="AN171" s="104">
        <f t="shared" si="235"/>
        <v>-148345</v>
      </c>
      <c r="AO171" s="104"/>
      <c r="AP171" s="113">
        <f t="shared" si="230"/>
        <v>148345</v>
      </c>
      <c r="AQ171" s="113"/>
      <c r="AR171" s="34">
        <f t="shared" si="232"/>
        <v>148345</v>
      </c>
      <c r="AS171" s="10">
        <f t="shared" si="232"/>
        <v>1</v>
      </c>
      <c r="AT171" s="10"/>
      <c r="AU171" s="10">
        <f t="shared" si="239"/>
        <v>0</v>
      </c>
      <c r="AV171" s="10">
        <f>98345+50000</f>
        <v>148345</v>
      </c>
      <c r="AW171" s="10">
        <f t="shared" si="240"/>
        <v>1</v>
      </c>
      <c r="AX171" s="10">
        <f t="shared" si="231"/>
        <v>37086.25</v>
      </c>
      <c r="AY171" s="10"/>
      <c r="AZ171" s="10"/>
      <c r="BA171" s="10">
        <v>0</v>
      </c>
      <c r="BB171" s="10">
        <v>0</v>
      </c>
      <c r="BC171" s="10">
        <f t="shared" si="236"/>
        <v>0</v>
      </c>
      <c r="BD171" s="10"/>
      <c r="BE171" s="26">
        <f t="shared" si="212"/>
        <v>0</v>
      </c>
      <c r="BF171" s="104">
        <f t="shared" si="212"/>
        <v>0</v>
      </c>
      <c r="BG171" s="104"/>
      <c r="BH171" s="104">
        <f t="shared" si="213"/>
        <v>0</v>
      </c>
      <c r="BI171" s="104"/>
      <c r="BJ171" s="104">
        <f t="shared" si="238"/>
        <v>0</v>
      </c>
      <c r="BK171" s="104"/>
      <c r="BL171" s="104"/>
      <c r="BM171" s="104"/>
      <c r="BN171" s="104" t="s">
        <v>1388</v>
      </c>
      <c r="BO171" s="104" t="s">
        <v>847</v>
      </c>
      <c r="BP171" s="104" t="s">
        <v>1389</v>
      </c>
      <c r="BQ171" s="104" t="s">
        <v>1390</v>
      </c>
      <c r="BR171" s="104" t="s">
        <v>1391</v>
      </c>
      <c r="BS171" s="104" t="s">
        <v>1392</v>
      </c>
      <c r="BT171" s="55" t="s">
        <v>1393</v>
      </c>
      <c r="BU171" s="29"/>
      <c r="BV171" s="29"/>
      <c r="BW171" s="29"/>
      <c r="BX171" s="29"/>
      <c r="BY171" s="29"/>
    </row>
    <row r="172" spans="1:77" s="30" customFormat="1" ht="32.25" customHeight="1" outlineLevel="1" x14ac:dyDescent="0.25">
      <c r="A172" s="49"/>
      <c r="B172" s="59">
        <v>23</v>
      </c>
      <c r="C172" s="104" t="s">
        <v>1379</v>
      </c>
      <c r="D172" s="104" t="s">
        <v>1380</v>
      </c>
      <c r="E172" s="104">
        <v>2015</v>
      </c>
      <c r="F172" s="104">
        <v>262074</v>
      </c>
      <c r="G172" s="104">
        <v>254738</v>
      </c>
      <c r="H172" s="104"/>
      <c r="I172" s="104"/>
      <c r="J172" s="104"/>
      <c r="K172" s="104"/>
      <c r="L172" s="104"/>
      <c r="M172" s="104">
        <v>0</v>
      </c>
      <c r="N172" s="104">
        <f t="shared" si="228"/>
        <v>0</v>
      </c>
      <c r="O172" s="104">
        <v>203790</v>
      </c>
      <c r="P172" s="104">
        <v>1</v>
      </c>
      <c r="Q172" s="26">
        <v>0</v>
      </c>
      <c r="R172" s="104">
        <v>0</v>
      </c>
      <c r="S172" s="104">
        <f t="shared" si="237"/>
        <v>0</v>
      </c>
      <c r="T172" s="104"/>
      <c r="U172" s="26">
        <f t="shared" si="233"/>
        <v>203790</v>
      </c>
      <c r="V172" s="113">
        <f t="shared" si="223"/>
        <v>1</v>
      </c>
      <c r="W172" s="41"/>
      <c r="X172" s="113">
        <f t="shared" si="224"/>
        <v>0</v>
      </c>
      <c r="Y172" s="41">
        <v>203790</v>
      </c>
      <c r="Z172" s="113">
        <f t="shared" si="225"/>
        <v>1</v>
      </c>
      <c r="AA172" s="118">
        <v>-203790</v>
      </c>
      <c r="AB172" s="122"/>
      <c r="AC172" s="26">
        <f t="shared" si="234"/>
        <v>0</v>
      </c>
      <c r="AD172" s="104">
        <f t="shared" si="234"/>
        <v>0</v>
      </c>
      <c r="AE172" s="41"/>
      <c r="AF172" s="104">
        <f t="shared" si="226"/>
        <v>0</v>
      </c>
      <c r="AG172" s="41"/>
      <c r="AH172" s="104">
        <f t="shared" si="227"/>
        <v>0</v>
      </c>
      <c r="AI172" s="104">
        <f t="shared" si="229"/>
        <v>0</v>
      </c>
      <c r="AJ172" s="104">
        <v>1</v>
      </c>
      <c r="AK172" s="104"/>
      <c r="AL172" s="104">
        <v>203790</v>
      </c>
      <c r="AM172" s="104">
        <v>1</v>
      </c>
      <c r="AN172" s="104">
        <f t="shared" si="235"/>
        <v>203790</v>
      </c>
      <c r="AO172" s="104"/>
      <c r="AP172" s="113">
        <f t="shared" si="230"/>
        <v>203790</v>
      </c>
      <c r="AQ172" s="113"/>
      <c r="AR172" s="34">
        <f t="shared" si="232"/>
        <v>0</v>
      </c>
      <c r="AS172" s="10">
        <f t="shared" si="232"/>
        <v>0</v>
      </c>
      <c r="AT172" s="10"/>
      <c r="AU172" s="10">
        <f t="shared" si="239"/>
        <v>0</v>
      </c>
      <c r="AV172" s="10"/>
      <c r="AW172" s="10">
        <f t="shared" si="240"/>
        <v>0</v>
      </c>
      <c r="AX172" s="10">
        <f t="shared" si="231"/>
        <v>0</v>
      </c>
      <c r="AY172" s="10"/>
      <c r="AZ172" s="10"/>
      <c r="BA172" s="10">
        <v>0</v>
      </c>
      <c r="BB172" s="10">
        <v>0</v>
      </c>
      <c r="BC172" s="10">
        <f t="shared" si="236"/>
        <v>0</v>
      </c>
      <c r="BD172" s="10"/>
      <c r="BE172" s="26">
        <f t="shared" si="212"/>
        <v>0</v>
      </c>
      <c r="BF172" s="104">
        <f t="shared" si="212"/>
        <v>0</v>
      </c>
      <c r="BG172" s="104"/>
      <c r="BH172" s="104">
        <f t="shared" si="213"/>
        <v>0</v>
      </c>
      <c r="BI172" s="104"/>
      <c r="BJ172" s="104">
        <f t="shared" si="238"/>
        <v>0</v>
      </c>
      <c r="BK172" s="104"/>
      <c r="BL172" s="104"/>
      <c r="BM172" s="104"/>
      <c r="BN172" s="104" t="s">
        <v>1381</v>
      </c>
      <c r="BO172" s="104" t="s">
        <v>1624</v>
      </c>
      <c r="BP172" s="104" t="s">
        <v>1382</v>
      </c>
      <c r="BQ172" s="104" t="s">
        <v>1383</v>
      </c>
      <c r="BR172" s="104" t="s">
        <v>1384</v>
      </c>
      <c r="BS172" s="104" t="s">
        <v>1385</v>
      </c>
      <c r="BT172" s="55" t="s">
        <v>1386</v>
      </c>
      <c r="BU172" s="29"/>
      <c r="BV172" s="29"/>
      <c r="BW172" s="29"/>
      <c r="BX172" s="29"/>
      <c r="BY172" s="29"/>
    </row>
    <row r="173" spans="1:77" s="30" customFormat="1" ht="48.75" customHeight="1" outlineLevel="1" x14ac:dyDescent="0.25">
      <c r="A173" s="49"/>
      <c r="B173" s="59">
        <v>24</v>
      </c>
      <c r="C173" s="104" t="s">
        <v>850</v>
      </c>
      <c r="D173" s="104" t="s">
        <v>1718</v>
      </c>
      <c r="E173" s="104">
        <v>2016</v>
      </c>
      <c r="F173" s="104">
        <v>233987</v>
      </c>
      <c r="G173" s="104">
        <v>226987</v>
      </c>
      <c r="H173" s="104"/>
      <c r="I173" s="104"/>
      <c r="J173" s="104"/>
      <c r="K173" s="104"/>
      <c r="L173" s="104"/>
      <c r="M173" s="104"/>
      <c r="N173" s="104">
        <f t="shared" si="228"/>
        <v>0</v>
      </c>
      <c r="O173" s="104">
        <v>0</v>
      </c>
      <c r="P173" s="104">
        <v>0</v>
      </c>
      <c r="Q173" s="26">
        <v>0</v>
      </c>
      <c r="R173" s="104">
        <v>0</v>
      </c>
      <c r="S173" s="104">
        <f t="shared" si="237"/>
        <v>0</v>
      </c>
      <c r="T173" s="104"/>
      <c r="U173" s="26">
        <f t="shared" si="233"/>
        <v>0</v>
      </c>
      <c r="V173" s="113">
        <f t="shared" si="223"/>
        <v>0</v>
      </c>
      <c r="W173" s="41"/>
      <c r="X173" s="113">
        <f t="shared" si="224"/>
        <v>0</v>
      </c>
      <c r="Y173" s="41"/>
      <c r="Z173" s="113">
        <f t="shared" si="225"/>
        <v>0</v>
      </c>
      <c r="AA173" s="118">
        <v>0</v>
      </c>
      <c r="AB173" s="122"/>
      <c r="AC173" s="26">
        <f t="shared" si="234"/>
        <v>0</v>
      </c>
      <c r="AD173" s="104">
        <f t="shared" si="234"/>
        <v>0</v>
      </c>
      <c r="AE173" s="41"/>
      <c r="AF173" s="104">
        <f t="shared" si="226"/>
        <v>0</v>
      </c>
      <c r="AG173" s="41"/>
      <c r="AH173" s="104">
        <f t="shared" si="227"/>
        <v>0</v>
      </c>
      <c r="AI173" s="104">
        <f t="shared" si="229"/>
        <v>0</v>
      </c>
      <c r="AJ173" s="104"/>
      <c r="AK173" s="104"/>
      <c r="AL173" s="104">
        <v>0</v>
      </c>
      <c r="AM173" s="104">
        <v>0</v>
      </c>
      <c r="AN173" s="104">
        <f t="shared" si="235"/>
        <v>-181590</v>
      </c>
      <c r="AO173" s="104"/>
      <c r="AP173" s="113">
        <f t="shared" si="230"/>
        <v>0</v>
      </c>
      <c r="AQ173" s="113"/>
      <c r="AR173" s="34">
        <f t="shared" si="232"/>
        <v>181590</v>
      </c>
      <c r="AS173" s="10">
        <f t="shared" si="232"/>
        <v>1</v>
      </c>
      <c r="AT173" s="10"/>
      <c r="AU173" s="10">
        <f t="shared" si="239"/>
        <v>0</v>
      </c>
      <c r="AV173" s="10">
        <v>181590</v>
      </c>
      <c r="AW173" s="10">
        <f t="shared" si="240"/>
        <v>1</v>
      </c>
      <c r="AX173" s="10">
        <f t="shared" si="231"/>
        <v>45397.5</v>
      </c>
      <c r="AY173" s="10">
        <v>1</v>
      </c>
      <c r="AZ173" s="10"/>
      <c r="BA173" s="10">
        <v>170846</v>
      </c>
      <c r="BB173" s="10">
        <v>1</v>
      </c>
      <c r="BC173" s="10">
        <f t="shared" si="236"/>
        <v>170846</v>
      </c>
      <c r="BD173" s="10"/>
      <c r="BE173" s="26">
        <f t="shared" si="212"/>
        <v>0</v>
      </c>
      <c r="BF173" s="104">
        <f t="shared" si="212"/>
        <v>0</v>
      </c>
      <c r="BG173" s="104"/>
      <c r="BH173" s="104">
        <f t="shared" si="213"/>
        <v>0</v>
      </c>
      <c r="BI173" s="104"/>
      <c r="BJ173" s="104">
        <f t="shared" si="238"/>
        <v>0</v>
      </c>
      <c r="BK173" s="104"/>
      <c r="BL173" s="104"/>
      <c r="BM173" s="104"/>
      <c r="BN173" s="104" t="s">
        <v>1796</v>
      </c>
      <c r="BO173" s="104" t="s">
        <v>1800</v>
      </c>
      <c r="BP173" s="104" t="s">
        <v>1797</v>
      </c>
      <c r="BQ173" s="104" t="s">
        <v>1798</v>
      </c>
      <c r="BR173" s="104" t="s">
        <v>1799</v>
      </c>
      <c r="BS173" s="104" t="s">
        <v>1801</v>
      </c>
      <c r="BT173" s="55" t="s">
        <v>1802</v>
      </c>
      <c r="BU173" s="29"/>
      <c r="BV173" s="29"/>
      <c r="BW173" s="29"/>
      <c r="BX173" s="29"/>
      <c r="BY173" s="29"/>
    </row>
    <row r="174" spans="1:77" s="30" customFormat="1" ht="45.75" customHeight="1" outlineLevel="1" x14ac:dyDescent="0.25">
      <c r="A174" s="49"/>
      <c r="B174" s="59">
        <v>25</v>
      </c>
      <c r="C174" s="104" t="s">
        <v>1423</v>
      </c>
      <c r="D174" s="104" t="s">
        <v>1424</v>
      </c>
      <c r="E174" s="104">
        <v>2015</v>
      </c>
      <c r="F174" s="104">
        <v>147025</v>
      </c>
      <c r="G174" s="104">
        <v>143048</v>
      </c>
      <c r="H174" s="104"/>
      <c r="I174" s="104"/>
      <c r="J174" s="104"/>
      <c r="K174" s="104">
        <v>1</v>
      </c>
      <c r="L174" s="104"/>
      <c r="M174" s="104">
        <v>0</v>
      </c>
      <c r="N174" s="104">
        <f t="shared" si="228"/>
        <v>0</v>
      </c>
      <c r="O174" s="104">
        <v>114438</v>
      </c>
      <c r="P174" s="104">
        <v>1</v>
      </c>
      <c r="Q174" s="26">
        <v>114438</v>
      </c>
      <c r="R174" s="104">
        <v>1</v>
      </c>
      <c r="S174" s="104">
        <f t="shared" si="237"/>
        <v>114438</v>
      </c>
      <c r="T174" s="104"/>
      <c r="U174" s="26">
        <f t="shared" si="233"/>
        <v>114438</v>
      </c>
      <c r="V174" s="113">
        <f t="shared" si="223"/>
        <v>1</v>
      </c>
      <c r="W174" s="41"/>
      <c r="X174" s="113">
        <f t="shared" si="224"/>
        <v>0</v>
      </c>
      <c r="Y174" s="41">
        <v>114438</v>
      </c>
      <c r="Z174" s="113">
        <f t="shared" si="225"/>
        <v>1</v>
      </c>
      <c r="AA174" s="118">
        <v>-114438</v>
      </c>
      <c r="AB174" s="122"/>
      <c r="AC174" s="26">
        <f t="shared" si="234"/>
        <v>0</v>
      </c>
      <c r="AD174" s="104">
        <f t="shared" si="234"/>
        <v>0</v>
      </c>
      <c r="AE174" s="41"/>
      <c r="AF174" s="104">
        <f t="shared" si="226"/>
        <v>0</v>
      </c>
      <c r="AG174" s="41"/>
      <c r="AH174" s="104">
        <f t="shared" si="227"/>
        <v>0</v>
      </c>
      <c r="AI174" s="104">
        <f t="shared" si="229"/>
        <v>0</v>
      </c>
      <c r="AJ174" s="104">
        <v>1</v>
      </c>
      <c r="AK174" s="104"/>
      <c r="AL174" s="104">
        <v>0</v>
      </c>
      <c r="AM174" s="104">
        <v>0</v>
      </c>
      <c r="AN174" s="104">
        <f t="shared" si="235"/>
        <v>0</v>
      </c>
      <c r="AO174" s="104"/>
      <c r="AP174" s="113">
        <f t="shared" si="230"/>
        <v>114438</v>
      </c>
      <c r="AQ174" s="113"/>
      <c r="AR174" s="34">
        <f t="shared" si="232"/>
        <v>0</v>
      </c>
      <c r="AS174" s="10">
        <f t="shared" si="232"/>
        <v>0</v>
      </c>
      <c r="AT174" s="10"/>
      <c r="AU174" s="10">
        <f t="shared" si="239"/>
        <v>0</v>
      </c>
      <c r="AV174" s="10"/>
      <c r="AW174" s="10">
        <v>0</v>
      </c>
      <c r="AX174" s="10">
        <f t="shared" si="231"/>
        <v>0</v>
      </c>
      <c r="AY174" s="10"/>
      <c r="AZ174" s="10"/>
      <c r="BA174" s="10">
        <v>0</v>
      </c>
      <c r="BB174" s="10">
        <v>0</v>
      </c>
      <c r="BC174" s="10">
        <f t="shared" si="236"/>
        <v>0</v>
      </c>
      <c r="BD174" s="10"/>
      <c r="BE174" s="26">
        <f t="shared" si="212"/>
        <v>0</v>
      </c>
      <c r="BF174" s="104">
        <f t="shared" si="212"/>
        <v>0</v>
      </c>
      <c r="BG174" s="104"/>
      <c r="BH174" s="104">
        <f t="shared" si="213"/>
        <v>0</v>
      </c>
      <c r="BI174" s="104"/>
      <c r="BJ174" s="104">
        <f t="shared" si="238"/>
        <v>0</v>
      </c>
      <c r="BK174" s="104"/>
      <c r="BL174" s="104"/>
      <c r="BM174" s="104"/>
      <c r="BN174" s="104" t="s">
        <v>1540</v>
      </c>
      <c r="BO174" s="104" t="s">
        <v>1625</v>
      </c>
      <c r="BP174" s="104" t="s">
        <v>1541</v>
      </c>
      <c r="BQ174" s="104" t="s">
        <v>1542</v>
      </c>
      <c r="BR174" s="104" t="s">
        <v>1543</v>
      </c>
      <c r="BS174" s="104" t="s">
        <v>1544</v>
      </c>
      <c r="BT174" s="55" t="s">
        <v>1545</v>
      </c>
      <c r="BU174" s="29"/>
      <c r="BV174" s="29"/>
      <c r="BW174" s="29"/>
      <c r="BX174" s="29"/>
      <c r="BY174" s="29"/>
    </row>
    <row r="175" spans="1:77" s="35" customFormat="1" ht="11.25" x14ac:dyDescent="0.25">
      <c r="A175" s="48"/>
      <c r="B175" s="57">
        <v>3</v>
      </c>
      <c r="C175" s="26" t="s">
        <v>538</v>
      </c>
      <c r="D175" s="26"/>
      <c r="E175" s="26"/>
      <c r="F175" s="26">
        <f>F176+F183</f>
        <v>2548018.2999999998</v>
      </c>
      <c r="G175" s="26">
        <f>G176+G183</f>
        <v>2508523</v>
      </c>
      <c r="H175" s="26"/>
      <c r="I175" s="26"/>
      <c r="J175" s="26"/>
      <c r="K175" s="26"/>
      <c r="L175" s="26"/>
      <c r="M175" s="26">
        <f>M176+M183</f>
        <v>851523</v>
      </c>
      <c r="N175" s="26">
        <f>N176+N183</f>
        <v>179482.5</v>
      </c>
      <c r="O175" s="26">
        <v>1300897</v>
      </c>
      <c r="P175" s="26">
        <v>4</v>
      </c>
      <c r="Q175" s="26">
        <v>628426</v>
      </c>
      <c r="R175" s="26">
        <v>3</v>
      </c>
      <c r="S175" s="26">
        <f t="shared" ref="S175:AI175" si="241">S176+S183</f>
        <v>515186</v>
      </c>
      <c r="T175" s="26">
        <f t="shared" si="241"/>
        <v>0</v>
      </c>
      <c r="U175" s="26">
        <f t="shared" ref="U175:V175" si="242">U176+U183</f>
        <v>628426</v>
      </c>
      <c r="V175" s="26">
        <f t="shared" si="242"/>
        <v>3</v>
      </c>
      <c r="W175" s="26">
        <f t="shared" ref="W175:Z175" si="243">W176+W183</f>
        <v>113240</v>
      </c>
      <c r="X175" s="26">
        <f t="shared" si="243"/>
        <v>1</v>
      </c>
      <c r="Y175" s="26">
        <f t="shared" si="243"/>
        <v>515186</v>
      </c>
      <c r="Z175" s="26">
        <f t="shared" si="243"/>
        <v>2</v>
      </c>
      <c r="AA175" s="26">
        <f t="shared" ref="AA175:AB175" si="244">AA176+AA183</f>
        <v>-515186</v>
      </c>
      <c r="AB175" s="26">
        <f t="shared" si="244"/>
        <v>30346</v>
      </c>
      <c r="AC175" s="26">
        <f t="shared" si="241"/>
        <v>143586</v>
      </c>
      <c r="AD175" s="26">
        <f t="shared" si="241"/>
        <v>5</v>
      </c>
      <c r="AE175" s="26">
        <f t="shared" si="241"/>
        <v>143586</v>
      </c>
      <c r="AF175" s="26">
        <f t="shared" si="241"/>
        <v>5</v>
      </c>
      <c r="AG175" s="26">
        <f t="shared" si="241"/>
        <v>0</v>
      </c>
      <c r="AH175" s="26">
        <f t="shared" si="241"/>
        <v>0</v>
      </c>
      <c r="AI175" s="26">
        <f t="shared" si="241"/>
        <v>35896.5</v>
      </c>
      <c r="AJ175" s="67">
        <f t="shared" ref="AJ175:AP175" si="245">AJ176+AJ183</f>
        <v>1</v>
      </c>
      <c r="AK175" s="67">
        <f t="shared" si="245"/>
        <v>2</v>
      </c>
      <c r="AL175" s="67">
        <f t="shared" si="245"/>
        <v>595194</v>
      </c>
      <c r="AM175" s="67">
        <f t="shared" si="245"/>
        <v>2</v>
      </c>
      <c r="AN175" s="67">
        <f t="shared" si="245"/>
        <v>-530346</v>
      </c>
      <c r="AO175" s="67">
        <f t="shared" si="245"/>
        <v>0</v>
      </c>
      <c r="AP175" s="67">
        <f t="shared" si="245"/>
        <v>484840</v>
      </c>
      <c r="AQ175" s="26"/>
      <c r="AR175" s="26">
        <f t="shared" ref="AR175:AZ175" si="246">AR176+AR183</f>
        <v>1125540</v>
      </c>
      <c r="AS175" s="67">
        <f t="shared" si="246"/>
        <v>2</v>
      </c>
      <c r="AT175" s="26">
        <f t="shared" si="246"/>
        <v>30346</v>
      </c>
      <c r="AU175" s="26">
        <f t="shared" si="246"/>
        <v>1</v>
      </c>
      <c r="AV175" s="26">
        <f t="shared" si="246"/>
        <v>1095194</v>
      </c>
      <c r="AW175" s="26">
        <f t="shared" si="246"/>
        <v>2</v>
      </c>
      <c r="AX175" s="26">
        <f t="shared" si="246"/>
        <v>273798.5</v>
      </c>
      <c r="AY175" s="26">
        <f t="shared" si="246"/>
        <v>2</v>
      </c>
      <c r="AZ175" s="26">
        <f t="shared" si="246"/>
        <v>0</v>
      </c>
      <c r="BA175" s="26">
        <v>0</v>
      </c>
      <c r="BB175" s="26">
        <v>0</v>
      </c>
      <c r="BC175" s="10">
        <f t="shared" si="236"/>
        <v>0</v>
      </c>
      <c r="BD175" s="26"/>
      <c r="BE175" s="26">
        <f t="shared" ref="BE175:BT175" si="247">BE176+BE183</f>
        <v>0</v>
      </c>
      <c r="BF175" s="67">
        <f t="shared" si="247"/>
        <v>0</v>
      </c>
      <c r="BG175" s="26">
        <f t="shared" si="247"/>
        <v>0</v>
      </c>
      <c r="BH175" s="26">
        <f t="shared" si="247"/>
        <v>0</v>
      </c>
      <c r="BI175" s="26">
        <f t="shared" si="247"/>
        <v>0</v>
      </c>
      <c r="BJ175" s="26">
        <f t="shared" si="247"/>
        <v>0</v>
      </c>
      <c r="BK175" s="26">
        <f t="shared" si="247"/>
        <v>0</v>
      </c>
      <c r="BL175" s="26">
        <f t="shared" si="247"/>
        <v>0</v>
      </c>
      <c r="BM175" s="26">
        <f t="shared" si="247"/>
        <v>0</v>
      </c>
      <c r="BN175" s="26">
        <f t="shared" si="247"/>
        <v>0</v>
      </c>
      <c r="BO175" s="26">
        <f t="shared" si="247"/>
        <v>0</v>
      </c>
      <c r="BP175" s="26">
        <f t="shared" si="247"/>
        <v>0</v>
      </c>
      <c r="BQ175" s="26">
        <f t="shared" si="247"/>
        <v>0</v>
      </c>
      <c r="BR175" s="26">
        <f t="shared" si="247"/>
        <v>0</v>
      </c>
      <c r="BS175" s="26">
        <f t="shared" si="247"/>
        <v>0</v>
      </c>
      <c r="BT175" s="58">
        <f t="shared" si="247"/>
        <v>0</v>
      </c>
      <c r="BU175" s="25"/>
      <c r="BV175" s="25"/>
      <c r="BW175" s="25"/>
      <c r="BX175" s="25"/>
      <c r="BY175" s="25"/>
    </row>
    <row r="176" spans="1:77" ht="11.25" outlineLevel="1" x14ac:dyDescent="0.25">
      <c r="A176" s="106"/>
      <c r="B176" s="59">
        <v>2</v>
      </c>
      <c r="C176" s="104" t="s">
        <v>301</v>
      </c>
      <c r="D176" s="104"/>
      <c r="E176" s="104"/>
      <c r="F176" s="104">
        <f>SUM(F177:F182)</f>
        <v>1736344.3</v>
      </c>
      <c r="G176" s="104">
        <f>SUM(G177:G182)</f>
        <v>1712149</v>
      </c>
      <c r="H176" s="104"/>
      <c r="I176" s="104"/>
      <c r="J176" s="104"/>
      <c r="K176" s="104"/>
      <c r="L176" s="104"/>
      <c r="M176" s="104">
        <f>SUM(M177:M182)</f>
        <v>851523</v>
      </c>
      <c r="N176" s="104">
        <f>SUM(N177:N182)</f>
        <v>179482.5</v>
      </c>
      <c r="O176" s="104">
        <v>663798</v>
      </c>
      <c r="P176" s="104">
        <v>3</v>
      </c>
      <c r="Q176" s="26">
        <v>328426</v>
      </c>
      <c r="R176" s="104">
        <v>2</v>
      </c>
      <c r="S176" s="26">
        <f t="shared" ref="S176:AI176" si="248">SUM(S177:S182)</f>
        <v>215186</v>
      </c>
      <c r="T176" s="26">
        <f t="shared" si="248"/>
        <v>0</v>
      </c>
      <c r="U176" s="26">
        <f t="shared" ref="U176:V176" si="249">SUM(U177:U182)</f>
        <v>328426</v>
      </c>
      <c r="V176" s="67">
        <f t="shared" si="249"/>
        <v>2</v>
      </c>
      <c r="W176" s="67">
        <f t="shared" ref="W176:Z176" si="250">SUM(W177:W182)</f>
        <v>113240</v>
      </c>
      <c r="X176" s="67">
        <f t="shared" si="250"/>
        <v>1</v>
      </c>
      <c r="Y176" s="67">
        <f t="shared" si="250"/>
        <v>215186</v>
      </c>
      <c r="Z176" s="67">
        <f t="shared" si="250"/>
        <v>1</v>
      </c>
      <c r="AA176" s="67">
        <f t="shared" ref="AA176:AB176" si="251">SUM(AA177:AA182)</f>
        <v>-215186</v>
      </c>
      <c r="AB176" s="67">
        <f t="shared" si="251"/>
        <v>30346</v>
      </c>
      <c r="AC176" s="26">
        <f t="shared" si="248"/>
        <v>143586</v>
      </c>
      <c r="AD176" s="104">
        <f t="shared" si="248"/>
        <v>5</v>
      </c>
      <c r="AE176" s="104">
        <f t="shared" si="248"/>
        <v>143586</v>
      </c>
      <c r="AF176" s="104">
        <f t="shared" si="248"/>
        <v>5</v>
      </c>
      <c r="AG176" s="104">
        <f t="shared" si="248"/>
        <v>0</v>
      </c>
      <c r="AH176" s="104">
        <f t="shared" si="248"/>
        <v>0</v>
      </c>
      <c r="AI176" s="104">
        <f t="shared" si="248"/>
        <v>35896.5</v>
      </c>
      <c r="AJ176" s="113">
        <f t="shared" ref="AJ176:AP176" si="252">SUM(AJ177:AJ182)</f>
        <v>1</v>
      </c>
      <c r="AK176" s="113">
        <f t="shared" si="252"/>
        <v>1</v>
      </c>
      <c r="AL176" s="113">
        <f t="shared" si="252"/>
        <v>258095</v>
      </c>
      <c r="AM176" s="113">
        <f t="shared" si="252"/>
        <v>1</v>
      </c>
      <c r="AN176" s="113">
        <f t="shared" si="252"/>
        <v>-230346</v>
      </c>
      <c r="AO176" s="113">
        <f t="shared" si="252"/>
        <v>0</v>
      </c>
      <c r="AP176" s="113">
        <f t="shared" si="252"/>
        <v>184840</v>
      </c>
      <c r="AQ176" s="113"/>
      <c r="AR176" s="26">
        <f t="shared" ref="AR176:AZ176" si="253">SUM(AR177:AR182)</f>
        <v>488441</v>
      </c>
      <c r="AS176" s="104">
        <f t="shared" si="253"/>
        <v>1</v>
      </c>
      <c r="AT176" s="104">
        <f t="shared" si="253"/>
        <v>30346</v>
      </c>
      <c r="AU176" s="104">
        <f t="shared" si="253"/>
        <v>0</v>
      </c>
      <c r="AV176" s="104">
        <f t="shared" si="253"/>
        <v>458095</v>
      </c>
      <c r="AW176" s="104">
        <f t="shared" si="253"/>
        <v>1</v>
      </c>
      <c r="AX176" s="104">
        <f t="shared" si="253"/>
        <v>114523.75</v>
      </c>
      <c r="AY176" s="104">
        <f t="shared" si="253"/>
        <v>1</v>
      </c>
      <c r="AZ176" s="104">
        <f t="shared" si="253"/>
        <v>0</v>
      </c>
      <c r="BA176" s="104">
        <v>0</v>
      </c>
      <c r="BB176" s="104">
        <v>0</v>
      </c>
      <c r="BC176" s="10">
        <f t="shared" si="236"/>
        <v>0</v>
      </c>
      <c r="BD176" s="104"/>
      <c r="BE176" s="26">
        <f t="shared" ref="BE176:BT176" si="254">SUM(BE177:BE182)</f>
        <v>0</v>
      </c>
      <c r="BF176" s="104">
        <f t="shared" si="254"/>
        <v>0</v>
      </c>
      <c r="BG176" s="104">
        <f t="shared" si="254"/>
        <v>0</v>
      </c>
      <c r="BH176" s="104">
        <f t="shared" si="254"/>
        <v>0</v>
      </c>
      <c r="BI176" s="104">
        <f t="shared" si="254"/>
        <v>0</v>
      </c>
      <c r="BJ176" s="104">
        <f t="shared" si="254"/>
        <v>0</v>
      </c>
      <c r="BK176" s="104">
        <f t="shared" si="254"/>
        <v>0</v>
      </c>
      <c r="BL176" s="104">
        <f t="shared" si="254"/>
        <v>0</v>
      </c>
      <c r="BM176" s="104">
        <f t="shared" si="254"/>
        <v>0</v>
      </c>
      <c r="BN176" s="104">
        <f t="shared" si="254"/>
        <v>0</v>
      </c>
      <c r="BO176" s="104">
        <f t="shared" si="254"/>
        <v>0</v>
      </c>
      <c r="BP176" s="104">
        <f t="shared" si="254"/>
        <v>0</v>
      </c>
      <c r="BQ176" s="104">
        <f t="shared" si="254"/>
        <v>0</v>
      </c>
      <c r="BR176" s="104">
        <f t="shared" si="254"/>
        <v>0</v>
      </c>
      <c r="BS176" s="104">
        <f t="shared" si="254"/>
        <v>0</v>
      </c>
      <c r="BT176" s="55">
        <f t="shared" si="254"/>
        <v>0</v>
      </c>
    </row>
    <row r="177" spans="1:77" ht="29.25" customHeight="1" outlineLevel="1" x14ac:dyDescent="0.25">
      <c r="A177" s="106"/>
      <c r="B177" s="107">
        <v>1</v>
      </c>
      <c r="C177" s="104" t="s">
        <v>484</v>
      </c>
      <c r="D177" s="104" t="s">
        <v>516</v>
      </c>
      <c r="E177" s="104" t="s">
        <v>9</v>
      </c>
      <c r="F177" s="104">
        <v>353032</v>
      </c>
      <c r="G177" s="104">
        <v>348032</v>
      </c>
      <c r="H177" s="104">
        <v>329050</v>
      </c>
      <c r="I177" s="104">
        <f t="shared" ref="I177" si="255">G177-H177</f>
        <v>18982</v>
      </c>
      <c r="J177" s="104">
        <v>1</v>
      </c>
      <c r="K177" s="104"/>
      <c r="L177" s="104"/>
      <c r="M177" s="104">
        <v>187500</v>
      </c>
      <c r="N177" s="104">
        <f>AC177+AI177</f>
        <v>141550</v>
      </c>
      <c r="O177" s="104">
        <v>128426</v>
      </c>
      <c r="P177" s="104">
        <v>1</v>
      </c>
      <c r="Q177" s="26">
        <v>128426</v>
      </c>
      <c r="R177" s="104">
        <v>1</v>
      </c>
      <c r="S177" s="104">
        <f t="shared" ref="S177:S220" si="256">Q177-AC177</f>
        <v>15186</v>
      </c>
      <c r="T177" s="104"/>
      <c r="U177" s="26">
        <f t="shared" ref="U177:V177" si="257">W177+Y177</f>
        <v>113240</v>
      </c>
      <c r="V177" s="113">
        <f t="shared" si="257"/>
        <v>1</v>
      </c>
      <c r="W177" s="113">
        <v>113240</v>
      </c>
      <c r="X177" s="113">
        <f t="shared" ref="X177" si="258">IF(W177,1,0)</f>
        <v>1</v>
      </c>
      <c r="Y177" s="113"/>
      <c r="Z177" s="113">
        <f t="shared" ref="Z177" si="259">IF(Y177,1,0)</f>
        <v>0</v>
      </c>
      <c r="AA177" s="118">
        <v>0</v>
      </c>
      <c r="AB177" s="122"/>
      <c r="AC177" s="26">
        <f t="shared" ref="AC177:AD227" si="260">AE177+AG177</f>
        <v>113240</v>
      </c>
      <c r="AD177" s="104">
        <f t="shared" si="260"/>
        <v>1</v>
      </c>
      <c r="AE177" s="104">
        <f>113240</f>
        <v>113240</v>
      </c>
      <c r="AF177" s="104">
        <f t="shared" ref="AF177:AF182" si="261">IF(AE177,1,0)</f>
        <v>1</v>
      </c>
      <c r="AG177" s="104"/>
      <c r="AH177" s="104">
        <f t="shared" ref="AH177:AH182" si="262">IF(AG177,1,0)</f>
        <v>0</v>
      </c>
      <c r="AI177" s="104">
        <f>AC177/0.8*0.2</f>
        <v>28310</v>
      </c>
      <c r="AJ177" s="104">
        <v>1</v>
      </c>
      <c r="AK177" s="104"/>
      <c r="AL177" s="104">
        <v>0</v>
      </c>
      <c r="AM177" s="104">
        <v>0</v>
      </c>
      <c r="AN177" s="104">
        <f t="shared" si="235"/>
        <v>-30346</v>
      </c>
      <c r="AO177" s="104"/>
      <c r="AP177" s="113">
        <f>U177-AC177</f>
        <v>0</v>
      </c>
      <c r="AQ177" s="113"/>
      <c r="AR177" s="34">
        <f t="shared" ref="AR177:AS226" si="263">AT177+AV177</f>
        <v>30346</v>
      </c>
      <c r="AS177" s="10">
        <v>0</v>
      </c>
      <c r="AT177" s="10">
        <f>30346</f>
        <v>30346</v>
      </c>
      <c r="AU177" s="10">
        <v>0</v>
      </c>
      <c r="AV177" s="10">
        <v>0</v>
      </c>
      <c r="AW177" s="10">
        <v>0</v>
      </c>
      <c r="AX177" s="10">
        <v>0</v>
      </c>
      <c r="AY177" s="10"/>
      <c r="AZ177" s="10"/>
      <c r="BA177" s="10">
        <v>0</v>
      </c>
      <c r="BB177" s="10">
        <v>0</v>
      </c>
      <c r="BC177" s="10">
        <f t="shared" si="236"/>
        <v>0</v>
      </c>
      <c r="BD177" s="10"/>
      <c r="BE177" s="26">
        <f t="shared" ref="BE177:BF203" si="264">BG177+BI177</f>
        <v>0</v>
      </c>
      <c r="BF177" s="104">
        <f t="shared" si="264"/>
        <v>0</v>
      </c>
      <c r="BG177" s="104"/>
      <c r="BH177" s="104">
        <f t="shared" ref="BH177:BH208" si="265">IF(BG177,1,0)</f>
        <v>0</v>
      </c>
      <c r="BI177" s="104"/>
      <c r="BJ177" s="104">
        <f t="shared" ref="BJ177:BJ231" si="266">IF(BI177,1,0)</f>
        <v>0</v>
      </c>
      <c r="BK177" s="104"/>
      <c r="BL177" s="104"/>
      <c r="BM177" s="104"/>
      <c r="BN177" s="104" t="s">
        <v>507</v>
      </c>
      <c r="BO177" s="104" t="s">
        <v>1626</v>
      </c>
      <c r="BP177" s="104" t="s">
        <v>510</v>
      </c>
      <c r="BQ177" s="104" t="s">
        <v>509</v>
      </c>
      <c r="BR177" s="104" t="s">
        <v>508</v>
      </c>
      <c r="BS177" s="104" t="s">
        <v>11</v>
      </c>
      <c r="BT177" s="55" t="s">
        <v>11</v>
      </c>
    </row>
    <row r="178" spans="1:77" ht="29.25" customHeight="1" outlineLevel="1" x14ac:dyDescent="0.25">
      <c r="A178" s="106"/>
      <c r="B178" s="107"/>
      <c r="C178" s="112" t="s">
        <v>1984</v>
      </c>
      <c r="D178" s="104" t="s">
        <v>2071</v>
      </c>
      <c r="E178" s="104" t="s">
        <v>9</v>
      </c>
      <c r="F178" s="104">
        <v>129296</v>
      </c>
      <c r="G178" s="104">
        <v>126771</v>
      </c>
      <c r="H178" s="104"/>
      <c r="I178" s="104"/>
      <c r="J178" s="104"/>
      <c r="K178" s="104"/>
      <c r="L178" s="104"/>
      <c r="M178" s="104">
        <v>120433</v>
      </c>
      <c r="N178" s="104">
        <f t="shared" ref="N178:N181" si="267">AC178+AI178</f>
        <v>6338.75</v>
      </c>
      <c r="O178" s="104"/>
      <c r="P178" s="104"/>
      <c r="Q178" s="26"/>
      <c r="R178" s="104"/>
      <c r="S178" s="104"/>
      <c r="T178" s="104"/>
      <c r="U178" s="26"/>
      <c r="V178" s="113"/>
      <c r="W178" s="113"/>
      <c r="X178" s="113"/>
      <c r="Y178" s="113"/>
      <c r="Z178" s="113"/>
      <c r="AA178" s="118"/>
      <c r="AB178" s="122">
        <v>5071</v>
      </c>
      <c r="AC178" s="26">
        <f t="shared" si="260"/>
        <v>5071</v>
      </c>
      <c r="AD178" s="104">
        <f t="shared" si="260"/>
        <v>1</v>
      </c>
      <c r="AE178" s="104">
        <v>5071</v>
      </c>
      <c r="AF178" s="104">
        <f t="shared" si="261"/>
        <v>1</v>
      </c>
      <c r="AG178" s="104"/>
      <c r="AH178" s="104"/>
      <c r="AI178" s="104">
        <f t="shared" ref="AI178:AI184" si="268">AC178/0.8*0.2</f>
        <v>1267.75</v>
      </c>
      <c r="AJ178" s="104"/>
      <c r="AK178" s="104"/>
      <c r="AL178" s="104"/>
      <c r="AM178" s="104"/>
      <c r="AN178" s="104"/>
      <c r="AO178" s="104"/>
      <c r="AP178" s="113">
        <f t="shared" ref="AP178:AP184" si="269">U178-AC178</f>
        <v>-5071</v>
      </c>
      <c r="AQ178" s="113"/>
      <c r="AR178" s="34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26"/>
      <c r="BF178" s="104"/>
      <c r="BG178" s="104"/>
      <c r="BH178" s="104"/>
      <c r="BI178" s="104"/>
      <c r="BJ178" s="104"/>
      <c r="BK178" s="104"/>
      <c r="BL178" s="104"/>
      <c r="BM178" s="104"/>
      <c r="BN178" s="104" t="s">
        <v>1986</v>
      </c>
      <c r="BO178" s="104" t="s">
        <v>1987</v>
      </c>
      <c r="BP178" s="104" t="s">
        <v>1988</v>
      </c>
      <c r="BQ178" s="104" t="s">
        <v>1989</v>
      </c>
      <c r="BR178" s="104" t="s">
        <v>1990</v>
      </c>
      <c r="BS178" s="104" t="s">
        <v>1991</v>
      </c>
      <c r="BT178" s="55"/>
    </row>
    <row r="179" spans="1:77" ht="29.25" customHeight="1" outlineLevel="1" x14ac:dyDescent="0.25">
      <c r="A179" s="106"/>
      <c r="B179" s="107"/>
      <c r="C179" s="112" t="s">
        <v>1985</v>
      </c>
      <c r="D179" s="104" t="s">
        <v>2072</v>
      </c>
      <c r="E179" s="104" t="s">
        <v>9</v>
      </c>
      <c r="F179" s="104">
        <v>244882</v>
      </c>
      <c r="G179" s="104">
        <v>238709</v>
      </c>
      <c r="H179" s="104"/>
      <c r="I179" s="104"/>
      <c r="J179" s="104"/>
      <c r="K179" s="104"/>
      <c r="L179" s="104"/>
      <c r="M179" s="104">
        <v>225718</v>
      </c>
      <c r="N179" s="104">
        <f t="shared" si="267"/>
        <v>12991.25</v>
      </c>
      <c r="O179" s="104"/>
      <c r="P179" s="104"/>
      <c r="Q179" s="26"/>
      <c r="R179" s="104"/>
      <c r="S179" s="104"/>
      <c r="T179" s="104"/>
      <c r="U179" s="26"/>
      <c r="V179" s="113"/>
      <c r="W179" s="113"/>
      <c r="X179" s="113"/>
      <c r="Y179" s="113"/>
      <c r="Z179" s="113"/>
      <c r="AA179" s="118"/>
      <c r="AB179" s="122">
        <v>10393</v>
      </c>
      <c r="AC179" s="26">
        <f t="shared" si="260"/>
        <v>10393</v>
      </c>
      <c r="AD179" s="104">
        <f t="shared" si="260"/>
        <v>1</v>
      </c>
      <c r="AE179" s="104">
        <v>10393</v>
      </c>
      <c r="AF179" s="104">
        <f t="shared" si="261"/>
        <v>1</v>
      </c>
      <c r="AG179" s="104"/>
      <c r="AH179" s="104"/>
      <c r="AI179" s="104">
        <f t="shared" si="268"/>
        <v>2598.25</v>
      </c>
      <c r="AJ179" s="104"/>
      <c r="AK179" s="104"/>
      <c r="AL179" s="104"/>
      <c r="AM179" s="104"/>
      <c r="AN179" s="104"/>
      <c r="AO179" s="104"/>
      <c r="AP179" s="113">
        <f t="shared" si="269"/>
        <v>-10393</v>
      </c>
      <c r="AQ179" s="113"/>
      <c r="AR179" s="34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26"/>
      <c r="BF179" s="104"/>
      <c r="BG179" s="104"/>
      <c r="BH179" s="104"/>
      <c r="BI179" s="104"/>
      <c r="BJ179" s="104"/>
      <c r="BK179" s="104"/>
      <c r="BL179" s="104"/>
      <c r="BM179" s="104"/>
      <c r="BN179" s="104" t="s">
        <v>1992</v>
      </c>
      <c r="BO179" s="104" t="s">
        <v>1993</v>
      </c>
      <c r="BP179" s="104" t="s">
        <v>1994</v>
      </c>
      <c r="BQ179" s="104" t="s">
        <v>1995</v>
      </c>
      <c r="BR179" s="104" t="s">
        <v>1996</v>
      </c>
      <c r="BS179" s="104" t="s">
        <v>1997</v>
      </c>
      <c r="BT179" s="55"/>
    </row>
    <row r="180" spans="1:77" ht="29.25" customHeight="1" outlineLevel="1" x14ac:dyDescent="0.25">
      <c r="A180" s="106"/>
      <c r="B180" s="107"/>
      <c r="C180" s="112" t="s">
        <v>1998</v>
      </c>
      <c r="D180" s="104" t="s">
        <v>2073</v>
      </c>
      <c r="E180" s="104" t="s">
        <v>9</v>
      </c>
      <c r="F180" s="104">
        <v>173703</v>
      </c>
      <c r="G180" s="104">
        <v>173105</v>
      </c>
      <c r="H180" s="104"/>
      <c r="I180" s="104"/>
      <c r="J180" s="104"/>
      <c r="K180" s="104"/>
      <c r="L180" s="104"/>
      <c r="M180" s="104">
        <v>134965</v>
      </c>
      <c r="N180" s="104">
        <f t="shared" si="267"/>
        <v>6622.5</v>
      </c>
      <c r="O180" s="104"/>
      <c r="P180" s="104"/>
      <c r="Q180" s="26"/>
      <c r="R180" s="104"/>
      <c r="S180" s="104"/>
      <c r="T180" s="104"/>
      <c r="U180" s="26"/>
      <c r="V180" s="113"/>
      <c r="W180" s="113"/>
      <c r="X180" s="113"/>
      <c r="Y180" s="113"/>
      <c r="Z180" s="113"/>
      <c r="AA180" s="118"/>
      <c r="AB180" s="122">
        <v>5298</v>
      </c>
      <c r="AC180" s="26">
        <f t="shared" si="260"/>
        <v>5298</v>
      </c>
      <c r="AD180" s="104">
        <f t="shared" si="260"/>
        <v>1</v>
      </c>
      <c r="AE180" s="104">
        <v>5298</v>
      </c>
      <c r="AF180" s="104">
        <f t="shared" si="261"/>
        <v>1</v>
      </c>
      <c r="AG180" s="104"/>
      <c r="AH180" s="104"/>
      <c r="AI180" s="104">
        <f t="shared" si="268"/>
        <v>1324.5</v>
      </c>
      <c r="AJ180" s="104"/>
      <c r="AK180" s="104"/>
      <c r="AL180" s="104"/>
      <c r="AM180" s="104"/>
      <c r="AN180" s="104"/>
      <c r="AO180" s="104"/>
      <c r="AP180" s="113">
        <f t="shared" si="269"/>
        <v>-5298</v>
      </c>
      <c r="AQ180" s="113"/>
      <c r="AR180" s="34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26"/>
      <c r="BF180" s="104"/>
      <c r="BG180" s="104"/>
      <c r="BH180" s="104"/>
      <c r="BI180" s="104"/>
      <c r="BJ180" s="104"/>
      <c r="BK180" s="104"/>
      <c r="BL180" s="104"/>
      <c r="BM180" s="104"/>
      <c r="BN180" s="104" t="s">
        <v>2000</v>
      </c>
      <c r="BO180" s="104" t="s">
        <v>1987</v>
      </c>
      <c r="BP180" s="104" t="s">
        <v>2001</v>
      </c>
      <c r="BQ180" s="104" t="s">
        <v>2002</v>
      </c>
      <c r="BR180" s="104" t="s">
        <v>2003</v>
      </c>
      <c r="BS180" s="104" t="s">
        <v>2004</v>
      </c>
      <c r="BT180" s="55"/>
    </row>
    <row r="181" spans="1:77" ht="29.25" customHeight="1" outlineLevel="1" x14ac:dyDescent="0.25">
      <c r="A181" s="106"/>
      <c r="B181" s="107"/>
      <c r="C181" s="112" t="s">
        <v>1999</v>
      </c>
      <c r="D181" s="104" t="s">
        <v>2074</v>
      </c>
      <c r="E181" s="104" t="s">
        <v>9</v>
      </c>
      <c r="F181" s="104">
        <v>253512</v>
      </c>
      <c r="G181" s="104">
        <v>252913</v>
      </c>
      <c r="H181" s="104"/>
      <c r="I181" s="104"/>
      <c r="J181" s="104"/>
      <c r="K181" s="104"/>
      <c r="L181" s="104"/>
      <c r="M181" s="104">
        <v>182907</v>
      </c>
      <c r="N181" s="104">
        <f t="shared" si="267"/>
        <v>11980</v>
      </c>
      <c r="O181" s="104"/>
      <c r="P181" s="104"/>
      <c r="Q181" s="26"/>
      <c r="R181" s="104"/>
      <c r="S181" s="104"/>
      <c r="T181" s="104"/>
      <c r="U181" s="26"/>
      <c r="V181" s="113"/>
      <c r="W181" s="113"/>
      <c r="X181" s="113"/>
      <c r="Y181" s="113"/>
      <c r="Z181" s="113"/>
      <c r="AA181" s="118"/>
      <c r="AB181" s="122">
        <v>9584</v>
      </c>
      <c r="AC181" s="26">
        <f t="shared" si="260"/>
        <v>9584</v>
      </c>
      <c r="AD181" s="104">
        <f t="shared" si="260"/>
        <v>1</v>
      </c>
      <c r="AE181" s="104">
        <v>9584</v>
      </c>
      <c r="AF181" s="104">
        <f t="shared" si="261"/>
        <v>1</v>
      </c>
      <c r="AG181" s="104"/>
      <c r="AH181" s="104"/>
      <c r="AI181" s="104">
        <f t="shared" si="268"/>
        <v>2396</v>
      </c>
      <c r="AJ181" s="104"/>
      <c r="AK181" s="104"/>
      <c r="AL181" s="104"/>
      <c r="AM181" s="104"/>
      <c r="AN181" s="104"/>
      <c r="AO181" s="104"/>
      <c r="AP181" s="113">
        <f t="shared" si="269"/>
        <v>-9584</v>
      </c>
      <c r="AQ181" s="113"/>
      <c r="AR181" s="34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26"/>
      <c r="BF181" s="104"/>
      <c r="BG181" s="104"/>
      <c r="BH181" s="104"/>
      <c r="BI181" s="104"/>
      <c r="BJ181" s="104"/>
      <c r="BK181" s="104"/>
      <c r="BL181" s="104"/>
      <c r="BM181" s="104"/>
      <c r="BN181" s="104" t="s">
        <v>2005</v>
      </c>
      <c r="BO181" s="104" t="s">
        <v>1987</v>
      </c>
      <c r="BP181" s="104" t="s">
        <v>2006</v>
      </c>
      <c r="BQ181" s="104" t="s">
        <v>2007</v>
      </c>
      <c r="BR181" s="104" t="s">
        <v>2003</v>
      </c>
      <c r="BS181" s="104" t="s">
        <v>2008</v>
      </c>
      <c r="BT181" s="55"/>
    </row>
    <row r="182" spans="1:77" ht="37.5" customHeight="1" outlineLevel="1" x14ac:dyDescent="0.25">
      <c r="A182" s="106"/>
      <c r="B182" s="107">
        <v>2</v>
      </c>
      <c r="C182" s="104" t="s">
        <v>506</v>
      </c>
      <c r="D182" s="104" t="s">
        <v>518</v>
      </c>
      <c r="E182" s="104" t="s">
        <v>10</v>
      </c>
      <c r="F182" s="104">
        <v>581919.30000000005</v>
      </c>
      <c r="G182" s="104">
        <v>572619</v>
      </c>
      <c r="H182" s="104"/>
      <c r="I182" s="104"/>
      <c r="J182" s="104"/>
      <c r="K182" s="104"/>
      <c r="L182" s="104"/>
      <c r="M182" s="104">
        <v>0</v>
      </c>
      <c r="N182" s="104">
        <f t="shared" ref="N182" si="270">AC182+AI182</f>
        <v>0</v>
      </c>
      <c r="O182" s="104">
        <v>458095</v>
      </c>
      <c r="P182" s="104">
        <v>1</v>
      </c>
      <c r="Q182" s="26">
        <v>200000</v>
      </c>
      <c r="R182" s="104">
        <v>1</v>
      </c>
      <c r="S182" s="104">
        <f t="shared" si="256"/>
        <v>200000</v>
      </c>
      <c r="T182" s="104"/>
      <c r="U182" s="26">
        <f t="shared" ref="U182:V182" si="271">W182+Y182</f>
        <v>215186</v>
      </c>
      <c r="V182" s="113">
        <f t="shared" si="271"/>
        <v>1</v>
      </c>
      <c r="W182" s="113"/>
      <c r="X182" s="113">
        <f t="shared" ref="X182" si="272">IF(W182,1,0)</f>
        <v>0</v>
      </c>
      <c r="Y182" s="113">
        <v>215186</v>
      </c>
      <c r="Z182" s="113">
        <f t="shared" ref="Z182" si="273">IF(Y182,1,0)</f>
        <v>1</v>
      </c>
      <c r="AA182" s="118">
        <v>-215186</v>
      </c>
      <c r="AB182" s="122"/>
      <c r="AC182" s="26">
        <f t="shared" si="260"/>
        <v>0</v>
      </c>
      <c r="AD182" s="104">
        <f t="shared" si="260"/>
        <v>0</v>
      </c>
      <c r="AE182" s="104"/>
      <c r="AF182" s="104">
        <f t="shared" si="261"/>
        <v>0</v>
      </c>
      <c r="AG182" s="104"/>
      <c r="AH182" s="104">
        <f t="shared" si="262"/>
        <v>0</v>
      </c>
      <c r="AI182" s="104">
        <f t="shared" si="268"/>
        <v>0</v>
      </c>
      <c r="AJ182" s="104"/>
      <c r="AK182" s="104">
        <v>1</v>
      </c>
      <c r="AL182" s="104">
        <v>258095</v>
      </c>
      <c r="AM182" s="104">
        <v>1</v>
      </c>
      <c r="AN182" s="104">
        <f t="shared" si="235"/>
        <v>-200000</v>
      </c>
      <c r="AO182" s="104"/>
      <c r="AP182" s="113">
        <f t="shared" si="269"/>
        <v>215186</v>
      </c>
      <c r="AQ182" s="113"/>
      <c r="AR182" s="34">
        <f t="shared" si="263"/>
        <v>458095</v>
      </c>
      <c r="AS182" s="10">
        <f t="shared" si="263"/>
        <v>1</v>
      </c>
      <c r="AT182" s="10"/>
      <c r="AU182" s="10">
        <f t="shared" ref="AU182:AU245" si="274">IF(AT182,1,0)</f>
        <v>0</v>
      </c>
      <c r="AV182" s="10">
        <f>242909+215186</f>
        <v>458095</v>
      </c>
      <c r="AW182" s="10">
        <f t="shared" ref="AW182:AW245" si="275">IF(AV182,1,0)</f>
        <v>1</v>
      </c>
      <c r="AX182" s="10">
        <f>AR182/0.8*0.2</f>
        <v>114523.75</v>
      </c>
      <c r="AY182" s="10">
        <v>1</v>
      </c>
      <c r="AZ182" s="10"/>
      <c r="BA182" s="10">
        <v>0</v>
      </c>
      <c r="BB182" s="10">
        <v>0</v>
      </c>
      <c r="BC182" s="10">
        <f t="shared" si="236"/>
        <v>0</v>
      </c>
      <c r="BD182" s="10"/>
      <c r="BE182" s="26">
        <f t="shared" si="264"/>
        <v>0</v>
      </c>
      <c r="BF182" s="104">
        <f t="shared" si="264"/>
        <v>0</v>
      </c>
      <c r="BG182" s="104"/>
      <c r="BH182" s="104">
        <f t="shared" si="265"/>
        <v>0</v>
      </c>
      <c r="BI182" s="104"/>
      <c r="BJ182" s="104">
        <f t="shared" si="266"/>
        <v>0</v>
      </c>
      <c r="BK182" s="104"/>
      <c r="BL182" s="104"/>
      <c r="BM182" s="104"/>
      <c r="BN182" s="104" t="s">
        <v>511</v>
      </c>
      <c r="BO182" s="104" t="s">
        <v>1627</v>
      </c>
      <c r="BP182" s="104" t="s">
        <v>517</v>
      </c>
      <c r="BQ182" s="104" t="s">
        <v>513</v>
      </c>
      <c r="BR182" s="104" t="s">
        <v>512</v>
      </c>
      <c r="BS182" s="104" t="s">
        <v>11</v>
      </c>
      <c r="BT182" s="55" t="s">
        <v>11</v>
      </c>
    </row>
    <row r="183" spans="1:77" ht="11.25" outlineLevel="1" x14ac:dyDescent="0.25">
      <c r="A183" s="106"/>
      <c r="B183" s="59">
        <v>1</v>
      </c>
      <c r="C183" s="104" t="s">
        <v>8</v>
      </c>
      <c r="D183" s="104"/>
      <c r="E183" s="104"/>
      <c r="F183" s="104">
        <f t="shared" ref="F183:BM183" si="276">F184</f>
        <v>811674</v>
      </c>
      <c r="G183" s="104">
        <f t="shared" si="276"/>
        <v>796374</v>
      </c>
      <c r="H183" s="104"/>
      <c r="I183" s="104"/>
      <c r="J183" s="104"/>
      <c r="K183" s="104"/>
      <c r="L183" s="104"/>
      <c r="M183" s="104">
        <f t="shared" si="276"/>
        <v>0</v>
      </c>
      <c r="N183" s="104">
        <f t="shared" si="276"/>
        <v>0</v>
      </c>
      <c r="O183" s="104">
        <v>637099</v>
      </c>
      <c r="P183" s="104">
        <v>1</v>
      </c>
      <c r="Q183" s="26">
        <v>300000</v>
      </c>
      <c r="R183" s="104">
        <v>1</v>
      </c>
      <c r="S183" s="104">
        <f t="shared" si="256"/>
        <v>300000</v>
      </c>
      <c r="T183" s="104"/>
      <c r="U183" s="26">
        <f t="shared" si="276"/>
        <v>300000</v>
      </c>
      <c r="V183" s="67">
        <f t="shared" si="276"/>
        <v>1</v>
      </c>
      <c r="W183" s="67">
        <f t="shared" si="276"/>
        <v>0</v>
      </c>
      <c r="X183" s="67">
        <f t="shared" si="276"/>
        <v>0</v>
      </c>
      <c r="Y183" s="67">
        <f t="shared" si="276"/>
        <v>300000</v>
      </c>
      <c r="Z183" s="67">
        <f t="shared" si="276"/>
        <v>1</v>
      </c>
      <c r="AA183" s="67">
        <f t="shared" si="276"/>
        <v>-300000</v>
      </c>
      <c r="AB183" s="67">
        <f t="shared" si="276"/>
        <v>0</v>
      </c>
      <c r="AC183" s="26">
        <f t="shared" si="276"/>
        <v>0</v>
      </c>
      <c r="AD183" s="104">
        <f t="shared" si="276"/>
        <v>0</v>
      </c>
      <c r="AE183" s="104">
        <f t="shared" si="276"/>
        <v>0</v>
      </c>
      <c r="AF183" s="104">
        <f t="shared" si="276"/>
        <v>0</v>
      </c>
      <c r="AG183" s="104">
        <f t="shared" si="276"/>
        <v>0</v>
      </c>
      <c r="AH183" s="104">
        <f t="shared" si="276"/>
        <v>0</v>
      </c>
      <c r="AI183" s="104">
        <f t="shared" si="276"/>
        <v>0</v>
      </c>
      <c r="AJ183" s="113">
        <f t="shared" si="276"/>
        <v>0</v>
      </c>
      <c r="AK183" s="113">
        <f t="shared" si="276"/>
        <v>1</v>
      </c>
      <c r="AL183" s="113">
        <f t="shared" si="276"/>
        <v>337099</v>
      </c>
      <c r="AM183" s="113">
        <f t="shared" si="276"/>
        <v>1</v>
      </c>
      <c r="AN183" s="113">
        <f t="shared" si="276"/>
        <v>-300000</v>
      </c>
      <c r="AO183" s="113">
        <f t="shared" si="276"/>
        <v>0</v>
      </c>
      <c r="AP183" s="113">
        <f t="shared" si="276"/>
        <v>300000</v>
      </c>
      <c r="AQ183" s="113"/>
      <c r="AR183" s="26">
        <f t="shared" si="276"/>
        <v>637099</v>
      </c>
      <c r="AS183" s="104">
        <f t="shared" si="276"/>
        <v>1</v>
      </c>
      <c r="AT183" s="104">
        <f t="shared" si="276"/>
        <v>0</v>
      </c>
      <c r="AU183" s="104">
        <f t="shared" si="276"/>
        <v>1</v>
      </c>
      <c r="AV183" s="104">
        <f t="shared" si="276"/>
        <v>637099</v>
      </c>
      <c r="AW183" s="104">
        <f t="shared" si="276"/>
        <v>1</v>
      </c>
      <c r="AX183" s="104">
        <f t="shared" si="276"/>
        <v>159274.75</v>
      </c>
      <c r="AY183" s="104">
        <f t="shared" si="276"/>
        <v>1</v>
      </c>
      <c r="AZ183" s="104">
        <f t="shared" si="276"/>
        <v>0</v>
      </c>
      <c r="BA183" s="104">
        <v>0</v>
      </c>
      <c r="BB183" s="104">
        <v>0</v>
      </c>
      <c r="BC183" s="10">
        <f t="shared" si="236"/>
        <v>0</v>
      </c>
      <c r="BD183" s="104"/>
      <c r="BE183" s="26">
        <f t="shared" si="276"/>
        <v>0</v>
      </c>
      <c r="BF183" s="104">
        <f t="shared" si="276"/>
        <v>0</v>
      </c>
      <c r="BG183" s="104">
        <f t="shared" si="276"/>
        <v>0</v>
      </c>
      <c r="BH183" s="104">
        <f t="shared" si="276"/>
        <v>0</v>
      </c>
      <c r="BI183" s="104">
        <f t="shared" si="276"/>
        <v>0</v>
      </c>
      <c r="BJ183" s="104">
        <f t="shared" si="276"/>
        <v>0</v>
      </c>
      <c r="BK183" s="104">
        <f t="shared" si="276"/>
        <v>0</v>
      </c>
      <c r="BL183" s="104">
        <f t="shared" si="276"/>
        <v>0</v>
      </c>
      <c r="BM183" s="104">
        <f t="shared" si="276"/>
        <v>0</v>
      </c>
      <c r="BN183" s="104"/>
      <c r="BO183" s="104"/>
      <c r="BP183" s="104"/>
      <c r="BQ183" s="104"/>
      <c r="BR183" s="104"/>
      <c r="BS183" s="104"/>
      <c r="BT183" s="55"/>
    </row>
    <row r="184" spans="1:77" ht="33" customHeight="1" outlineLevel="1" x14ac:dyDescent="0.25">
      <c r="A184" s="106"/>
      <c r="B184" s="107">
        <v>1</v>
      </c>
      <c r="C184" s="67" t="s">
        <v>1474</v>
      </c>
      <c r="D184" s="104" t="s">
        <v>520</v>
      </c>
      <c r="E184" s="104" t="s">
        <v>10</v>
      </c>
      <c r="F184" s="104">
        <v>811674</v>
      </c>
      <c r="G184" s="104">
        <v>796374</v>
      </c>
      <c r="H184" s="104"/>
      <c r="I184" s="104"/>
      <c r="J184" s="104"/>
      <c r="K184" s="104"/>
      <c r="L184" s="104"/>
      <c r="M184" s="104">
        <v>0</v>
      </c>
      <c r="N184" s="104">
        <f>AC184+AI184</f>
        <v>0</v>
      </c>
      <c r="O184" s="104">
        <v>637099</v>
      </c>
      <c r="P184" s="104">
        <v>1</v>
      </c>
      <c r="Q184" s="26">
        <v>300000</v>
      </c>
      <c r="R184" s="104">
        <v>1</v>
      </c>
      <c r="S184" s="104">
        <f t="shared" si="256"/>
        <v>300000</v>
      </c>
      <c r="T184" s="104"/>
      <c r="U184" s="26">
        <f t="shared" ref="U184:V184" si="277">W184+Y184</f>
        <v>300000</v>
      </c>
      <c r="V184" s="113">
        <f t="shared" si="277"/>
        <v>1</v>
      </c>
      <c r="W184" s="113"/>
      <c r="X184" s="113">
        <f t="shared" ref="X184" si="278">IF(W184,1,0)</f>
        <v>0</v>
      </c>
      <c r="Y184" s="113">
        <v>300000</v>
      </c>
      <c r="Z184" s="113">
        <f t="shared" ref="Z184" si="279">IF(Y184,1,0)</f>
        <v>1</v>
      </c>
      <c r="AA184" s="118">
        <v>-300000</v>
      </c>
      <c r="AB184" s="122"/>
      <c r="AC184" s="26">
        <f t="shared" si="260"/>
        <v>0</v>
      </c>
      <c r="AD184" s="104">
        <f t="shared" si="260"/>
        <v>0</v>
      </c>
      <c r="AE184" s="104"/>
      <c r="AF184" s="104">
        <f t="shared" ref="AF184" si="280">IF(AE184,1,0)</f>
        <v>0</v>
      </c>
      <c r="AG184" s="104"/>
      <c r="AH184" s="104">
        <f t="shared" ref="AH184" si="281">IF(AG184,1,0)</f>
        <v>0</v>
      </c>
      <c r="AI184" s="104">
        <f t="shared" si="268"/>
        <v>0</v>
      </c>
      <c r="AJ184" s="104"/>
      <c r="AK184" s="104">
        <v>1</v>
      </c>
      <c r="AL184" s="104">
        <v>337099</v>
      </c>
      <c r="AM184" s="104">
        <v>1</v>
      </c>
      <c r="AN184" s="104">
        <f t="shared" si="235"/>
        <v>-300000</v>
      </c>
      <c r="AO184" s="104"/>
      <c r="AP184" s="113">
        <f t="shared" si="269"/>
        <v>300000</v>
      </c>
      <c r="AQ184" s="113"/>
      <c r="AR184" s="34">
        <f t="shared" si="263"/>
        <v>637099</v>
      </c>
      <c r="AS184" s="10">
        <v>1</v>
      </c>
      <c r="AT184" s="10"/>
      <c r="AU184" s="10">
        <v>1</v>
      </c>
      <c r="AV184" s="10">
        <f>337099+300000</f>
        <v>637099</v>
      </c>
      <c r="AW184" s="10">
        <f t="shared" si="275"/>
        <v>1</v>
      </c>
      <c r="AX184" s="10">
        <f>AR184/0.8*0.2</f>
        <v>159274.75</v>
      </c>
      <c r="AY184" s="10">
        <v>1</v>
      </c>
      <c r="AZ184" s="10"/>
      <c r="BA184" s="10">
        <v>0</v>
      </c>
      <c r="BB184" s="10">
        <v>0</v>
      </c>
      <c r="BC184" s="10">
        <f t="shared" si="236"/>
        <v>0</v>
      </c>
      <c r="BD184" s="10"/>
      <c r="BE184" s="26">
        <f t="shared" si="264"/>
        <v>0</v>
      </c>
      <c r="BF184" s="104">
        <f t="shared" si="264"/>
        <v>0</v>
      </c>
      <c r="BG184" s="104"/>
      <c r="BH184" s="104">
        <f t="shared" si="265"/>
        <v>0</v>
      </c>
      <c r="BI184" s="104"/>
      <c r="BJ184" s="104">
        <f t="shared" si="266"/>
        <v>0</v>
      </c>
      <c r="BK184" s="104"/>
      <c r="BL184" s="104"/>
      <c r="BM184" s="104"/>
      <c r="BN184" s="104" t="s">
        <v>514</v>
      </c>
      <c r="BO184" s="104" t="s">
        <v>1628</v>
      </c>
      <c r="BP184" s="104" t="s">
        <v>519</v>
      </c>
      <c r="BQ184" s="104" t="s">
        <v>515</v>
      </c>
      <c r="BR184" s="104" t="s">
        <v>521</v>
      </c>
      <c r="BS184" s="104" t="s">
        <v>11</v>
      </c>
      <c r="BT184" s="55" t="s">
        <v>11</v>
      </c>
    </row>
    <row r="185" spans="1:77" s="35" customFormat="1" ht="11.25" x14ac:dyDescent="0.25">
      <c r="A185" s="48"/>
      <c r="B185" s="60">
        <v>17</v>
      </c>
      <c r="C185" s="26" t="s">
        <v>1430</v>
      </c>
      <c r="D185" s="26"/>
      <c r="E185" s="26"/>
      <c r="F185" s="26">
        <f>F186+F207</f>
        <v>18685359</v>
      </c>
      <c r="G185" s="26">
        <f>G186+G207</f>
        <v>18367768.899999999</v>
      </c>
      <c r="H185" s="26"/>
      <c r="I185" s="26"/>
      <c r="J185" s="26"/>
      <c r="K185" s="26"/>
      <c r="L185" s="26"/>
      <c r="M185" s="26">
        <f>M186+M207</f>
        <v>7385402</v>
      </c>
      <c r="N185" s="26">
        <f>N186+N207</f>
        <v>4706882.2222222229</v>
      </c>
      <c r="O185" s="26">
        <v>7125416</v>
      </c>
      <c r="P185" s="26">
        <v>17</v>
      </c>
      <c r="Q185" s="26">
        <v>5013409</v>
      </c>
      <c r="R185" s="26">
        <v>12</v>
      </c>
      <c r="S185" s="26">
        <f t="shared" ref="S185:AI185" si="282">S186+S207</f>
        <v>924812</v>
      </c>
      <c r="T185" s="26">
        <f t="shared" si="282"/>
        <v>0</v>
      </c>
      <c r="U185" s="26">
        <f t="shared" ref="U185:V185" si="283">U186+U207</f>
        <v>4693409</v>
      </c>
      <c r="V185" s="26">
        <f t="shared" si="283"/>
        <v>12</v>
      </c>
      <c r="W185" s="26">
        <f t="shared" ref="W185:Z185" si="284">W186+W207</f>
        <v>3950235</v>
      </c>
      <c r="X185" s="26">
        <f t="shared" si="284"/>
        <v>9</v>
      </c>
      <c r="Y185" s="26">
        <f t="shared" si="284"/>
        <v>743174</v>
      </c>
      <c r="Z185" s="26">
        <f t="shared" si="284"/>
        <v>3</v>
      </c>
      <c r="AA185" s="26">
        <f t="shared" ref="AA185:AB185" si="285">AA186+AA207</f>
        <v>-743174</v>
      </c>
      <c r="AB185" s="26">
        <f t="shared" si="285"/>
        <v>285959</v>
      </c>
      <c r="AC185" s="26">
        <f t="shared" si="282"/>
        <v>4236194</v>
      </c>
      <c r="AD185" s="26">
        <f t="shared" si="282"/>
        <v>13</v>
      </c>
      <c r="AE185" s="26">
        <f t="shared" si="282"/>
        <v>4236194</v>
      </c>
      <c r="AF185" s="26">
        <f t="shared" si="282"/>
        <v>13</v>
      </c>
      <c r="AG185" s="26">
        <f t="shared" si="282"/>
        <v>0</v>
      </c>
      <c r="AH185" s="26">
        <f t="shared" si="282"/>
        <v>0</v>
      </c>
      <c r="AI185" s="26">
        <f t="shared" si="282"/>
        <v>470688.22222222225</v>
      </c>
      <c r="AJ185" s="67">
        <f t="shared" ref="AJ185:AQ185" si="286">AJ186+AJ207</f>
        <v>7</v>
      </c>
      <c r="AK185" s="67">
        <f t="shared" si="286"/>
        <v>5</v>
      </c>
      <c r="AL185" s="67">
        <f t="shared" si="286"/>
        <v>4524278</v>
      </c>
      <c r="AM185" s="67">
        <f t="shared" si="286"/>
        <v>9</v>
      </c>
      <c r="AN185" s="67">
        <f t="shared" si="286"/>
        <v>-1850762</v>
      </c>
      <c r="AO185" s="67">
        <f t="shared" si="286"/>
        <v>0</v>
      </c>
      <c r="AP185" s="67">
        <f t="shared" si="286"/>
        <v>457215</v>
      </c>
      <c r="AQ185" s="67">
        <f t="shared" si="286"/>
        <v>0</v>
      </c>
      <c r="AR185" s="26">
        <f t="shared" ref="AR185:AZ185" si="287">AR186+AR207</f>
        <v>6375040</v>
      </c>
      <c r="AS185" s="67">
        <f t="shared" si="287"/>
        <v>12</v>
      </c>
      <c r="AT185" s="26">
        <f t="shared" si="287"/>
        <v>4962606</v>
      </c>
      <c r="AU185" s="26">
        <f t="shared" si="287"/>
        <v>7</v>
      </c>
      <c r="AV185" s="26">
        <f t="shared" si="287"/>
        <v>1412434</v>
      </c>
      <c r="AW185" s="26">
        <f t="shared" si="287"/>
        <v>5</v>
      </c>
      <c r="AX185" s="26">
        <f t="shared" si="287"/>
        <v>708337.77777777764</v>
      </c>
      <c r="AY185" s="26">
        <f t="shared" si="287"/>
        <v>10</v>
      </c>
      <c r="AZ185" s="26">
        <f t="shared" si="287"/>
        <v>0</v>
      </c>
      <c r="BA185" s="26">
        <v>3558263</v>
      </c>
      <c r="BB185" s="26">
        <v>11</v>
      </c>
      <c r="BC185" s="10">
        <f t="shared" si="236"/>
        <v>3558263</v>
      </c>
      <c r="BD185" s="26"/>
      <c r="BE185" s="26">
        <f t="shared" ref="BE185:BT185" si="288">BE186+BE207</f>
        <v>0</v>
      </c>
      <c r="BF185" s="67">
        <f t="shared" si="288"/>
        <v>0</v>
      </c>
      <c r="BG185" s="26">
        <f t="shared" si="288"/>
        <v>0</v>
      </c>
      <c r="BH185" s="26">
        <f t="shared" si="288"/>
        <v>0</v>
      </c>
      <c r="BI185" s="26">
        <f t="shared" si="288"/>
        <v>0</v>
      </c>
      <c r="BJ185" s="26">
        <f t="shared" si="288"/>
        <v>0</v>
      </c>
      <c r="BK185" s="26">
        <f t="shared" si="288"/>
        <v>0</v>
      </c>
      <c r="BL185" s="26">
        <f t="shared" si="288"/>
        <v>0</v>
      </c>
      <c r="BM185" s="26">
        <f t="shared" si="288"/>
        <v>0</v>
      </c>
      <c r="BN185" s="26">
        <f t="shared" si="288"/>
        <v>0</v>
      </c>
      <c r="BO185" s="26">
        <f t="shared" si="288"/>
        <v>0</v>
      </c>
      <c r="BP185" s="26">
        <f t="shared" si="288"/>
        <v>0</v>
      </c>
      <c r="BQ185" s="26">
        <f t="shared" si="288"/>
        <v>0</v>
      </c>
      <c r="BR185" s="26">
        <f t="shared" si="288"/>
        <v>0</v>
      </c>
      <c r="BS185" s="26">
        <f t="shared" si="288"/>
        <v>0</v>
      </c>
      <c r="BT185" s="58">
        <f t="shared" si="288"/>
        <v>0</v>
      </c>
      <c r="BU185" s="25"/>
      <c r="BV185" s="25"/>
      <c r="BW185" s="25"/>
      <c r="BX185" s="25"/>
      <c r="BY185" s="25"/>
    </row>
    <row r="186" spans="1:77" ht="11.25" outlineLevel="1" x14ac:dyDescent="0.25">
      <c r="A186" s="106"/>
      <c r="B186" s="107">
        <v>16</v>
      </c>
      <c r="C186" s="104" t="s">
        <v>198</v>
      </c>
      <c r="D186" s="104"/>
      <c r="E186" s="104"/>
      <c r="F186" s="104">
        <f>SUM(F187:F206)</f>
        <v>17115625</v>
      </c>
      <c r="G186" s="104">
        <f>SUM(G187:G206)</f>
        <v>16807236.899999999</v>
      </c>
      <c r="H186" s="104"/>
      <c r="I186" s="104"/>
      <c r="J186" s="104"/>
      <c r="K186" s="104"/>
      <c r="L186" s="104"/>
      <c r="M186" s="104">
        <f>SUM(M187:M206)</f>
        <v>6885402</v>
      </c>
      <c r="N186" s="104">
        <f>SUM(N187:N206)</f>
        <v>4211104.444444445</v>
      </c>
      <c r="O186" s="104">
        <v>6170937</v>
      </c>
      <c r="P186" s="104">
        <v>16</v>
      </c>
      <c r="Q186" s="26">
        <v>4158930</v>
      </c>
      <c r="R186" s="104">
        <v>11</v>
      </c>
      <c r="S186" s="26">
        <f t="shared" ref="S186:AI186" si="289">SUM(S187:S206)</f>
        <v>516533</v>
      </c>
      <c r="T186" s="26">
        <f t="shared" si="289"/>
        <v>0</v>
      </c>
      <c r="U186" s="26">
        <f t="shared" ref="U186:V186" si="290">SUM(U187:U206)</f>
        <v>4247209</v>
      </c>
      <c r="V186" s="67">
        <f t="shared" si="290"/>
        <v>11</v>
      </c>
      <c r="W186" s="67">
        <f t="shared" ref="W186:Z186" si="291">SUM(W187:W206)</f>
        <v>3504035</v>
      </c>
      <c r="X186" s="67">
        <f t="shared" si="291"/>
        <v>8</v>
      </c>
      <c r="Y186" s="67">
        <f t="shared" si="291"/>
        <v>743174</v>
      </c>
      <c r="Z186" s="67">
        <f t="shared" si="291"/>
        <v>3</v>
      </c>
      <c r="AA186" s="67">
        <f t="shared" ref="AA186:AB186" si="292">SUM(AA187:AA206)</f>
        <v>-743174</v>
      </c>
      <c r="AB186" s="67">
        <f t="shared" si="292"/>
        <v>285959</v>
      </c>
      <c r="AC186" s="26">
        <f t="shared" si="289"/>
        <v>3789994</v>
      </c>
      <c r="AD186" s="104">
        <f t="shared" si="289"/>
        <v>12</v>
      </c>
      <c r="AE186" s="104">
        <f t="shared" si="289"/>
        <v>3789994</v>
      </c>
      <c r="AF186" s="104">
        <f t="shared" si="289"/>
        <v>12</v>
      </c>
      <c r="AG186" s="104">
        <f t="shared" si="289"/>
        <v>0</v>
      </c>
      <c r="AH186" s="104">
        <f t="shared" si="289"/>
        <v>0</v>
      </c>
      <c r="AI186" s="104">
        <f t="shared" si="289"/>
        <v>421110.44444444444</v>
      </c>
      <c r="AJ186" s="113">
        <f t="shared" ref="AJ186:AQ186" si="293">SUM(AJ187:AJ206)</f>
        <v>7</v>
      </c>
      <c r="AK186" s="113">
        <f t="shared" si="293"/>
        <v>4</v>
      </c>
      <c r="AL186" s="113">
        <f t="shared" si="293"/>
        <v>4424278</v>
      </c>
      <c r="AM186" s="113">
        <f t="shared" si="293"/>
        <v>8</v>
      </c>
      <c r="AN186" s="113">
        <f t="shared" si="293"/>
        <v>-1160762</v>
      </c>
      <c r="AO186" s="113">
        <f t="shared" si="293"/>
        <v>0</v>
      </c>
      <c r="AP186" s="113">
        <f t="shared" si="293"/>
        <v>457215</v>
      </c>
      <c r="AQ186" s="113">
        <f t="shared" si="293"/>
        <v>0</v>
      </c>
      <c r="AR186" s="26">
        <f t="shared" ref="AR186:AZ186" si="294">SUM(AR187:AR206)</f>
        <v>5585040</v>
      </c>
      <c r="AS186" s="104">
        <f t="shared" si="294"/>
        <v>11</v>
      </c>
      <c r="AT186" s="104">
        <f t="shared" si="294"/>
        <v>4172606</v>
      </c>
      <c r="AU186" s="104">
        <f t="shared" si="294"/>
        <v>6</v>
      </c>
      <c r="AV186" s="104">
        <f t="shared" si="294"/>
        <v>1412434</v>
      </c>
      <c r="AW186" s="104">
        <f t="shared" si="294"/>
        <v>5</v>
      </c>
      <c r="AX186" s="104">
        <f t="shared" si="294"/>
        <v>620559.99999999988</v>
      </c>
      <c r="AY186" s="104">
        <f t="shared" si="294"/>
        <v>9</v>
      </c>
      <c r="AZ186" s="104">
        <f t="shared" si="294"/>
        <v>0</v>
      </c>
      <c r="BA186" s="104">
        <v>3028263</v>
      </c>
      <c r="BB186" s="104">
        <v>10</v>
      </c>
      <c r="BC186" s="10">
        <f t="shared" si="236"/>
        <v>3028263</v>
      </c>
      <c r="BD186" s="104"/>
      <c r="BE186" s="26">
        <f t="shared" ref="BE186:BT186" si="295">SUM(BE187:BE206)</f>
        <v>0</v>
      </c>
      <c r="BF186" s="104">
        <f t="shared" si="295"/>
        <v>0</v>
      </c>
      <c r="BG186" s="104">
        <f t="shared" si="295"/>
        <v>0</v>
      </c>
      <c r="BH186" s="104">
        <f t="shared" si="295"/>
        <v>0</v>
      </c>
      <c r="BI186" s="104">
        <f t="shared" si="295"/>
        <v>0</v>
      </c>
      <c r="BJ186" s="104">
        <f t="shared" si="295"/>
        <v>0</v>
      </c>
      <c r="BK186" s="104">
        <f t="shared" si="295"/>
        <v>0</v>
      </c>
      <c r="BL186" s="104">
        <f t="shared" si="295"/>
        <v>0</v>
      </c>
      <c r="BM186" s="104">
        <f t="shared" si="295"/>
        <v>0</v>
      </c>
      <c r="BN186" s="104">
        <f t="shared" si="295"/>
        <v>0</v>
      </c>
      <c r="BO186" s="104">
        <f t="shared" si="295"/>
        <v>0</v>
      </c>
      <c r="BP186" s="104">
        <f t="shared" si="295"/>
        <v>0</v>
      </c>
      <c r="BQ186" s="104">
        <f t="shared" si="295"/>
        <v>0</v>
      </c>
      <c r="BR186" s="104">
        <f t="shared" si="295"/>
        <v>0</v>
      </c>
      <c r="BS186" s="104">
        <f t="shared" si="295"/>
        <v>0</v>
      </c>
      <c r="BT186" s="55">
        <f t="shared" si="295"/>
        <v>0</v>
      </c>
    </row>
    <row r="187" spans="1:77" ht="70.5" customHeight="1" outlineLevel="1" x14ac:dyDescent="0.25">
      <c r="A187" s="106"/>
      <c r="B187" s="59">
        <v>1</v>
      </c>
      <c r="C187" s="104" t="s">
        <v>1294</v>
      </c>
      <c r="D187" s="104" t="s">
        <v>1475</v>
      </c>
      <c r="E187" s="104" t="s">
        <v>196</v>
      </c>
      <c r="F187" s="104">
        <v>1516698</v>
      </c>
      <c r="G187" s="104">
        <v>1486969</v>
      </c>
      <c r="H187" s="104">
        <v>1444989</v>
      </c>
      <c r="I187" s="104">
        <f t="shared" ref="I187:I194" si="296">G187-H187</f>
        <v>41980</v>
      </c>
      <c r="J187" s="104">
        <v>1</v>
      </c>
      <c r="K187" s="104">
        <v>1</v>
      </c>
      <c r="L187" s="104"/>
      <c r="M187" s="104">
        <v>800000</v>
      </c>
      <c r="N187" s="104">
        <f>AC187+AI187</f>
        <v>644988.88888888888</v>
      </c>
      <c r="O187" s="104">
        <v>718272</v>
      </c>
      <c r="P187" s="104">
        <v>1</v>
      </c>
      <c r="Q187" s="26">
        <v>718272</v>
      </c>
      <c r="R187" s="104">
        <v>1</v>
      </c>
      <c r="S187" s="104">
        <f t="shared" si="256"/>
        <v>137782</v>
      </c>
      <c r="T187" s="104"/>
      <c r="U187" s="26">
        <f t="shared" ref="U187:V194" si="297">W187+Y187</f>
        <v>580490</v>
      </c>
      <c r="V187" s="113">
        <f t="shared" si="297"/>
        <v>1</v>
      </c>
      <c r="W187" s="113">
        <v>580490</v>
      </c>
      <c r="X187" s="113">
        <f t="shared" ref="X187:X194" si="298">IF(W187,1,0)</f>
        <v>1</v>
      </c>
      <c r="Y187" s="113"/>
      <c r="Z187" s="113">
        <f t="shared" ref="Z187:Z194" si="299">IF(Y187,1,0)</f>
        <v>0</v>
      </c>
      <c r="AA187" s="118">
        <v>0</v>
      </c>
      <c r="AB187" s="122"/>
      <c r="AC187" s="26">
        <f t="shared" si="260"/>
        <v>580490</v>
      </c>
      <c r="AD187" s="104">
        <f t="shared" si="260"/>
        <v>1</v>
      </c>
      <c r="AE187" s="104">
        <v>580490</v>
      </c>
      <c r="AF187" s="104">
        <f t="shared" ref="AF187:AF206" si="300">IF(AE187,1,0)</f>
        <v>1</v>
      </c>
      <c r="AG187" s="104"/>
      <c r="AH187" s="104">
        <f t="shared" ref="AH187:AH206" si="301">IF(AG187,1,0)</f>
        <v>0</v>
      </c>
      <c r="AI187" s="104">
        <f>AC187/0.9*0.1</f>
        <v>64498.888888888891</v>
      </c>
      <c r="AJ187" s="104">
        <v>1</v>
      </c>
      <c r="AK187" s="104"/>
      <c r="AL187" s="104">
        <v>0</v>
      </c>
      <c r="AM187" s="104">
        <v>0</v>
      </c>
      <c r="AN187" s="104">
        <f t="shared" si="235"/>
        <v>0</v>
      </c>
      <c r="AO187" s="104"/>
      <c r="AP187" s="113">
        <f>U187-AC187</f>
        <v>0</v>
      </c>
      <c r="AQ187" s="113"/>
      <c r="AR187" s="34">
        <f t="shared" si="263"/>
        <v>0</v>
      </c>
      <c r="AS187" s="10">
        <v>0</v>
      </c>
      <c r="AT187" s="10">
        <v>0</v>
      </c>
      <c r="AU187" s="10">
        <v>0</v>
      </c>
      <c r="AV187" s="10">
        <v>0</v>
      </c>
      <c r="AW187" s="10">
        <v>0</v>
      </c>
      <c r="AX187" s="10">
        <v>0</v>
      </c>
      <c r="AY187" s="10"/>
      <c r="AZ187" s="10"/>
      <c r="BA187" s="10">
        <v>0</v>
      </c>
      <c r="BB187" s="10">
        <v>0</v>
      </c>
      <c r="BC187" s="10">
        <f t="shared" si="236"/>
        <v>0</v>
      </c>
      <c r="BD187" s="10"/>
      <c r="BE187" s="26">
        <f t="shared" si="264"/>
        <v>0</v>
      </c>
      <c r="BF187" s="104">
        <f t="shared" si="264"/>
        <v>0</v>
      </c>
      <c r="BG187" s="104"/>
      <c r="BH187" s="104">
        <f t="shared" si="265"/>
        <v>0</v>
      </c>
      <c r="BI187" s="104"/>
      <c r="BJ187" s="104">
        <f t="shared" si="266"/>
        <v>0</v>
      </c>
      <c r="BK187" s="104"/>
      <c r="BL187" s="104"/>
      <c r="BM187" s="104"/>
      <c r="BN187" s="104" t="s">
        <v>337</v>
      </c>
      <c r="BO187" s="104" t="s">
        <v>1629</v>
      </c>
      <c r="BP187" s="104" t="s">
        <v>338</v>
      </c>
      <c r="BQ187" s="104" t="s">
        <v>11</v>
      </c>
      <c r="BR187" s="104" t="s">
        <v>982</v>
      </c>
      <c r="BS187" s="104" t="s">
        <v>11</v>
      </c>
      <c r="BT187" s="55" t="s">
        <v>1630</v>
      </c>
    </row>
    <row r="188" spans="1:77" ht="47.25" customHeight="1" outlineLevel="1" x14ac:dyDescent="0.25">
      <c r="A188" s="106"/>
      <c r="B188" s="59">
        <v>2</v>
      </c>
      <c r="C188" s="104" t="s">
        <v>302</v>
      </c>
      <c r="D188" s="104" t="s">
        <v>303</v>
      </c>
      <c r="E188" s="104" t="s">
        <v>1370</v>
      </c>
      <c r="F188" s="104">
        <v>3337510</v>
      </c>
      <c r="G188" s="104">
        <v>3336598</v>
      </c>
      <c r="H188" s="104">
        <v>2982960</v>
      </c>
      <c r="I188" s="104">
        <f t="shared" si="296"/>
        <v>353638</v>
      </c>
      <c r="J188" s="104">
        <v>1</v>
      </c>
      <c r="K188" s="104"/>
      <c r="L188" s="104"/>
      <c r="M188" s="104">
        <v>1388889</v>
      </c>
      <c r="N188" s="104">
        <f t="shared" ref="N188:N206" si="302">AC188+AI188</f>
        <v>606043.33333333337</v>
      </c>
      <c r="O188" s="104">
        <v>810000</v>
      </c>
      <c r="P188" s="104">
        <v>1</v>
      </c>
      <c r="Q188" s="26">
        <v>510000</v>
      </c>
      <c r="R188" s="104">
        <v>1</v>
      </c>
      <c r="S188" s="104">
        <f t="shared" si="256"/>
        <v>-35439</v>
      </c>
      <c r="T188" s="104"/>
      <c r="U188" s="26">
        <f t="shared" si="297"/>
        <v>510000</v>
      </c>
      <c r="V188" s="113">
        <f t="shared" si="297"/>
        <v>1</v>
      </c>
      <c r="W188" s="113">
        <f>810000-300000</f>
        <v>510000</v>
      </c>
      <c r="X188" s="113">
        <f t="shared" si="298"/>
        <v>1</v>
      </c>
      <c r="Y188" s="113"/>
      <c r="Z188" s="113">
        <f t="shared" si="299"/>
        <v>0</v>
      </c>
      <c r="AA188" s="118"/>
      <c r="AB188" s="122">
        <v>35439</v>
      </c>
      <c r="AC188" s="26">
        <f t="shared" si="260"/>
        <v>545439</v>
      </c>
      <c r="AD188" s="104">
        <f t="shared" si="260"/>
        <v>1</v>
      </c>
      <c r="AE188" s="104">
        <f>810000-300000+35439</f>
        <v>545439</v>
      </c>
      <c r="AF188" s="104">
        <f t="shared" si="300"/>
        <v>1</v>
      </c>
      <c r="AG188" s="104"/>
      <c r="AH188" s="104">
        <f t="shared" si="301"/>
        <v>0</v>
      </c>
      <c r="AI188" s="104">
        <f t="shared" ref="AI188:AI206" si="303">AC188/0.9*0.1</f>
        <v>60604.333333333343</v>
      </c>
      <c r="AJ188" s="104"/>
      <c r="AK188" s="104">
        <v>1</v>
      </c>
      <c r="AL188" s="104">
        <v>1242938</v>
      </c>
      <c r="AM188" s="104">
        <v>1</v>
      </c>
      <c r="AN188" s="104">
        <f t="shared" si="235"/>
        <v>0</v>
      </c>
      <c r="AO188" s="104"/>
      <c r="AP188" s="113">
        <f t="shared" ref="AP188:AP208" si="304">U188-AC188</f>
        <v>-35439</v>
      </c>
      <c r="AQ188" s="113"/>
      <c r="AR188" s="34">
        <f t="shared" si="263"/>
        <v>1242938</v>
      </c>
      <c r="AS188" s="10">
        <f t="shared" si="263"/>
        <v>1</v>
      </c>
      <c r="AT188" s="10">
        <f>942938+300000</f>
        <v>1242938</v>
      </c>
      <c r="AU188" s="10">
        <f t="shared" si="274"/>
        <v>1</v>
      </c>
      <c r="AV188" s="10"/>
      <c r="AW188" s="10">
        <f t="shared" si="275"/>
        <v>0</v>
      </c>
      <c r="AX188" s="10">
        <f>AR188/0.9*0.1</f>
        <v>138104.22222222222</v>
      </c>
      <c r="AY188" s="10">
        <v>1</v>
      </c>
      <c r="AZ188" s="10"/>
      <c r="BA188" s="10">
        <v>0</v>
      </c>
      <c r="BB188" s="10">
        <v>0</v>
      </c>
      <c r="BC188" s="10">
        <f t="shared" si="236"/>
        <v>0</v>
      </c>
      <c r="BD188" s="10"/>
      <c r="BE188" s="26">
        <f t="shared" si="264"/>
        <v>0</v>
      </c>
      <c r="BF188" s="104">
        <f t="shared" si="264"/>
        <v>0</v>
      </c>
      <c r="BG188" s="104"/>
      <c r="BH188" s="104">
        <f t="shared" si="265"/>
        <v>0</v>
      </c>
      <c r="BI188" s="104"/>
      <c r="BJ188" s="104">
        <f t="shared" si="266"/>
        <v>0</v>
      </c>
      <c r="BK188" s="104"/>
      <c r="BL188" s="104"/>
      <c r="BM188" s="104"/>
      <c r="BN188" s="104" t="s">
        <v>371</v>
      </c>
      <c r="BO188" s="104" t="s">
        <v>1631</v>
      </c>
      <c r="BP188" s="104" t="s">
        <v>1004</v>
      </c>
      <c r="BQ188" s="104" t="s">
        <v>1005</v>
      </c>
      <c r="BR188" s="104" t="s">
        <v>1632</v>
      </c>
      <c r="BS188" s="104" t="s">
        <v>11</v>
      </c>
      <c r="BT188" s="55" t="s">
        <v>1003</v>
      </c>
    </row>
    <row r="189" spans="1:77" ht="48" customHeight="1" outlineLevel="1" x14ac:dyDescent="0.25">
      <c r="A189" s="106"/>
      <c r="B189" s="59">
        <v>3</v>
      </c>
      <c r="C189" s="104" t="s">
        <v>304</v>
      </c>
      <c r="D189" s="104" t="s">
        <v>1476</v>
      </c>
      <c r="E189" s="104" t="s">
        <v>196</v>
      </c>
      <c r="F189" s="104">
        <v>1969634</v>
      </c>
      <c r="G189" s="104">
        <v>1945070</v>
      </c>
      <c r="H189" s="104">
        <v>1937470</v>
      </c>
      <c r="I189" s="104">
        <f t="shared" si="296"/>
        <v>7600</v>
      </c>
      <c r="J189" s="104">
        <v>1</v>
      </c>
      <c r="K189" s="104">
        <v>1</v>
      </c>
      <c r="L189" s="104"/>
      <c r="M189" s="104">
        <v>1138109</v>
      </c>
      <c r="N189" s="104">
        <f t="shared" si="302"/>
        <v>799361.11111111112</v>
      </c>
      <c r="O189" s="104">
        <v>560281</v>
      </c>
      <c r="P189" s="104">
        <v>1</v>
      </c>
      <c r="Q189" s="26">
        <v>560281</v>
      </c>
      <c r="R189" s="104">
        <v>1</v>
      </c>
      <c r="S189" s="104">
        <f t="shared" si="256"/>
        <v>-159144</v>
      </c>
      <c r="T189" s="104"/>
      <c r="U189" s="26">
        <f t="shared" si="297"/>
        <v>693442</v>
      </c>
      <c r="V189" s="113">
        <f t="shared" si="297"/>
        <v>1</v>
      </c>
      <c r="W189" s="113">
        <v>693442</v>
      </c>
      <c r="X189" s="113">
        <f t="shared" si="298"/>
        <v>1</v>
      </c>
      <c r="Y189" s="113"/>
      <c r="Z189" s="113">
        <f t="shared" si="299"/>
        <v>0</v>
      </c>
      <c r="AA189" s="118"/>
      <c r="AB189" s="122">
        <v>25983</v>
      </c>
      <c r="AC189" s="26">
        <f t="shared" si="260"/>
        <v>719425</v>
      </c>
      <c r="AD189" s="104">
        <f t="shared" si="260"/>
        <v>1</v>
      </c>
      <c r="AE189" s="104">
        <f>693442+25983</f>
        <v>719425</v>
      </c>
      <c r="AF189" s="104">
        <f t="shared" si="300"/>
        <v>1</v>
      </c>
      <c r="AG189" s="104"/>
      <c r="AH189" s="104">
        <f t="shared" si="301"/>
        <v>0</v>
      </c>
      <c r="AI189" s="104">
        <f t="shared" si="303"/>
        <v>79936.111111111124</v>
      </c>
      <c r="AJ189" s="104">
        <v>1</v>
      </c>
      <c r="AK189" s="104"/>
      <c r="AL189" s="104">
        <v>0</v>
      </c>
      <c r="AM189" s="104">
        <v>0</v>
      </c>
      <c r="AN189" s="104">
        <f t="shared" si="235"/>
        <v>-376646</v>
      </c>
      <c r="AO189" s="104"/>
      <c r="AP189" s="113">
        <f t="shared" si="304"/>
        <v>-25983</v>
      </c>
      <c r="AQ189" s="113"/>
      <c r="AR189" s="34">
        <f t="shared" si="263"/>
        <v>376646</v>
      </c>
      <c r="AS189" s="10">
        <f t="shared" si="263"/>
        <v>1</v>
      </c>
      <c r="AT189" s="10">
        <f>286102-35439+25983+100000</f>
        <v>376646</v>
      </c>
      <c r="AU189" s="10">
        <f t="shared" si="274"/>
        <v>1</v>
      </c>
      <c r="AV189" s="10"/>
      <c r="AW189" s="10">
        <f t="shared" si="275"/>
        <v>0</v>
      </c>
      <c r="AX189" s="10">
        <f>AR189/0.9*0.1</f>
        <v>41849.555555555562</v>
      </c>
      <c r="AY189" s="10"/>
      <c r="AZ189" s="10"/>
      <c r="BA189" s="10">
        <v>0</v>
      </c>
      <c r="BB189" s="10">
        <v>0</v>
      </c>
      <c r="BC189" s="10">
        <f t="shared" si="236"/>
        <v>0</v>
      </c>
      <c r="BD189" s="10"/>
      <c r="BE189" s="26">
        <f t="shared" si="264"/>
        <v>0</v>
      </c>
      <c r="BF189" s="104">
        <f t="shared" si="264"/>
        <v>0</v>
      </c>
      <c r="BG189" s="104"/>
      <c r="BH189" s="104">
        <f t="shared" si="265"/>
        <v>0</v>
      </c>
      <c r="BI189" s="104"/>
      <c r="BJ189" s="104">
        <f t="shared" si="266"/>
        <v>0</v>
      </c>
      <c r="BK189" s="104"/>
      <c r="BL189" s="104"/>
      <c r="BM189" s="104"/>
      <c r="BN189" s="104" t="s">
        <v>909</v>
      </c>
      <c r="BO189" s="104" t="s">
        <v>1633</v>
      </c>
      <c r="BP189" s="104" t="s">
        <v>1009</v>
      </c>
      <c r="BQ189" s="104" t="s">
        <v>1007</v>
      </c>
      <c r="BR189" s="104" t="s">
        <v>1006</v>
      </c>
      <c r="BS189" s="104" t="s">
        <v>11</v>
      </c>
      <c r="BT189" s="55" t="s">
        <v>1008</v>
      </c>
    </row>
    <row r="190" spans="1:77" ht="45" customHeight="1" outlineLevel="1" x14ac:dyDescent="0.25">
      <c r="A190" s="106"/>
      <c r="B190" s="59">
        <v>4</v>
      </c>
      <c r="C190" s="104" t="s">
        <v>305</v>
      </c>
      <c r="D190" s="104" t="s">
        <v>1154</v>
      </c>
      <c r="E190" s="104" t="s">
        <v>9</v>
      </c>
      <c r="F190" s="104">
        <v>368105</v>
      </c>
      <c r="G190" s="104">
        <v>361910</v>
      </c>
      <c r="H190" s="104">
        <v>357455</v>
      </c>
      <c r="I190" s="104">
        <f t="shared" si="296"/>
        <v>4455</v>
      </c>
      <c r="J190" s="104">
        <v>1</v>
      </c>
      <c r="K190" s="104">
        <v>1</v>
      </c>
      <c r="L190" s="104"/>
      <c r="M190" s="104">
        <v>166667</v>
      </c>
      <c r="N190" s="104">
        <f t="shared" si="302"/>
        <v>146344.44444444444</v>
      </c>
      <c r="O190" s="104">
        <v>174747</v>
      </c>
      <c r="P190" s="104">
        <v>1</v>
      </c>
      <c r="Q190" s="26">
        <v>174747</v>
      </c>
      <c r="R190" s="104">
        <v>1</v>
      </c>
      <c r="S190" s="104">
        <f t="shared" si="256"/>
        <v>43037</v>
      </c>
      <c r="T190" s="104"/>
      <c r="U190" s="26">
        <f t="shared" si="297"/>
        <v>131710</v>
      </c>
      <c r="V190" s="113">
        <f t="shared" si="297"/>
        <v>1</v>
      </c>
      <c r="W190" s="113">
        <v>131710</v>
      </c>
      <c r="X190" s="113">
        <f t="shared" si="298"/>
        <v>1</v>
      </c>
      <c r="Y190" s="113"/>
      <c r="Z190" s="113">
        <f t="shared" si="299"/>
        <v>0</v>
      </c>
      <c r="AA190" s="118">
        <v>0</v>
      </c>
      <c r="AB190" s="122"/>
      <c r="AC190" s="26">
        <f t="shared" si="260"/>
        <v>131710</v>
      </c>
      <c r="AD190" s="104">
        <f t="shared" si="260"/>
        <v>1</v>
      </c>
      <c r="AE190" s="104">
        <v>131710</v>
      </c>
      <c r="AF190" s="104">
        <f t="shared" si="300"/>
        <v>1</v>
      </c>
      <c r="AG190" s="104"/>
      <c r="AH190" s="104">
        <f t="shared" si="301"/>
        <v>0</v>
      </c>
      <c r="AI190" s="104">
        <f t="shared" si="303"/>
        <v>14634.444444444445</v>
      </c>
      <c r="AJ190" s="104">
        <v>1</v>
      </c>
      <c r="AK190" s="104"/>
      <c r="AL190" s="104">
        <v>0</v>
      </c>
      <c r="AM190" s="104">
        <v>0</v>
      </c>
      <c r="AN190" s="104">
        <f t="shared" si="235"/>
        <v>0</v>
      </c>
      <c r="AO190" s="104"/>
      <c r="AP190" s="113">
        <f t="shared" si="304"/>
        <v>0</v>
      </c>
      <c r="AQ190" s="113"/>
      <c r="AR190" s="34">
        <f t="shared" si="263"/>
        <v>0</v>
      </c>
      <c r="AS190" s="10">
        <f t="shared" si="263"/>
        <v>0</v>
      </c>
      <c r="AT190" s="10"/>
      <c r="AU190" s="10">
        <f t="shared" si="274"/>
        <v>0</v>
      </c>
      <c r="AV190" s="10"/>
      <c r="AW190" s="10">
        <f t="shared" si="275"/>
        <v>0</v>
      </c>
      <c r="AX190" s="10">
        <f t="shared" ref="AX190:AX191" si="305">AR190/0.9*0.1</f>
        <v>0</v>
      </c>
      <c r="AY190" s="10"/>
      <c r="AZ190" s="10"/>
      <c r="BA190" s="10">
        <v>0</v>
      </c>
      <c r="BB190" s="10">
        <v>0</v>
      </c>
      <c r="BC190" s="10">
        <f t="shared" si="236"/>
        <v>0</v>
      </c>
      <c r="BD190" s="10"/>
      <c r="BE190" s="26">
        <f t="shared" si="264"/>
        <v>0</v>
      </c>
      <c r="BF190" s="104">
        <f t="shared" si="264"/>
        <v>0</v>
      </c>
      <c r="BG190" s="104"/>
      <c r="BH190" s="104">
        <f t="shared" si="265"/>
        <v>0</v>
      </c>
      <c r="BI190" s="104"/>
      <c r="BJ190" s="104">
        <f t="shared" si="266"/>
        <v>0</v>
      </c>
      <c r="BK190" s="104"/>
      <c r="BL190" s="104"/>
      <c r="BM190" s="104"/>
      <c r="BN190" s="104" t="s">
        <v>910</v>
      </c>
      <c r="BO190" s="104" t="s">
        <v>1629</v>
      </c>
      <c r="BP190" s="104" t="s">
        <v>1634</v>
      </c>
      <c r="BQ190" s="104" t="s">
        <v>984</v>
      </c>
      <c r="BR190" s="104" t="s">
        <v>983</v>
      </c>
      <c r="BS190" s="104" t="s">
        <v>11</v>
      </c>
      <c r="BT190" s="55" t="s">
        <v>11</v>
      </c>
    </row>
    <row r="191" spans="1:77" ht="55.5" customHeight="1" outlineLevel="1" x14ac:dyDescent="0.25">
      <c r="A191" s="106"/>
      <c r="B191" s="59">
        <v>5</v>
      </c>
      <c r="C191" s="13" t="s">
        <v>306</v>
      </c>
      <c r="D191" s="104" t="s">
        <v>1155</v>
      </c>
      <c r="E191" s="104" t="s">
        <v>9</v>
      </c>
      <c r="F191" s="104">
        <v>1173387</v>
      </c>
      <c r="G191" s="104">
        <v>1150648</v>
      </c>
      <c r="H191" s="104">
        <v>1150057</v>
      </c>
      <c r="I191" s="104">
        <f t="shared" si="296"/>
        <v>591</v>
      </c>
      <c r="J191" s="104">
        <v>1</v>
      </c>
      <c r="K191" s="104">
        <v>1</v>
      </c>
      <c r="L191" s="104"/>
      <c r="M191" s="104">
        <v>269014</v>
      </c>
      <c r="N191" s="104">
        <f t="shared" si="302"/>
        <v>881043.33333333337</v>
      </c>
      <c r="O191" s="104">
        <v>793470</v>
      </c>
      <c r="P191" s="104">
        <v>1</v>
      </c>
      <c r="Q191" s="26">
        <v>793470</v>
      </c>
      <c r="R191" s="104">
        <v>1</v>
      </c>
      <c r="S191" s="104">
        <f t="shared" si="256"/>
        <v>531</v>
      </c>
      <c r="T191" s="104"/>
      <c r="U191" s="26">
        <f t="shared" si="297"/>
        <v>792939</v>
      </c>
      <c r="V191" s="113">
        <f t="shared" si="297"/>
        <v>1</v>
      </c>
      <c r="W191" s="113">
        <v>792939</v>
      </c>
      <c r="X191" s="113">
        <f t="shared" si="298"/>
        <v>1</v>
      </c>
      <c r="Y191" s="113"/>
      <c r="Z191" s="113">
        <f t="shared" si="299"/>
        <v>0</v>
      </c>
      <c r="AA191" s="118">
        <v>0</v>
      </c>
      <c r="AB191" s="122"/>
      <c r="AC191" s="26">
        <f t="shared" si="260"/>
        <v>792939</v>
      </c>
      <c r="AD191" s="104">
        <f t="shared" si="260"/>
        <v>1</v>
      </c>
      <c r="AE191" s="104">
        <f>792939</f>
        <v>792939</v>
      </c>
      <c r="AF191" s="104">
        <f t="shared" si="300"/>
        <v>1</v>
      </c>
      <c r="AG191" s="104"/>
      <c r="AH191" s="104">
        <f t="shared" si="301"/>
        <v>0</v>
      </c>
      <c r="AI191" s="104">
        <f t="shared" si="303"/>
        <v>88104.333333333328</v>
      </c>
      <c r="AJ191" s="104">
        <v>1</v>
      </c>
      <c r="AK191" s="104"/>
      <c r="AL191" s="104">
        <v>0</v>
      </c>
      <c r="AM191" s="104">
        <v>0</v>
      </c>
      <c r="AN191" s="104">
        <f t="shared" si="235"/>
        <v>-500000</v>
      </c>
      <c r="AO191" s="104"/>
      <c r="AP191" s="113">
        <f t="shared" si="304"/>
        <v>0</v>
      </c>
      <c r="AQ191" s="113"/>
      <c r="AR191" s="34">
        <f t="shared" si="263"/>
        <v>500000</v>
      </c>
      <c r="AS191" s="10">
        <f t="shared" si="263"/>
        <v>1</v>
      </c>
      <c r="AT191" s="10">
        <f>500000</f>
        <v>500000</v>
      </c>
      <c r="AU191" s="10">
        <f t="shared" si="274"/>
        <v>1</v>
      </c>
      <c r="AV191" s="10"/>
      <c r="AW191" s="10">
        <f t="shared" si="275"/>
        <v>0</v>
      </c>
      <c r="AX191" s="10">
        <f t="shared" si="305"/>
        <v>55555.555555555555</v>
      </c>
      <c r="AY191" s="10"/>
      <c r="AZ191" s="10"/>
      <c r="BA191" s="10">
        <v>0</v>
      </c>
      <c r="BB191" s="10">
        <v>0</v>
      </c>
      <c r="BC191" s="10">
        <f t="shared" si="236"/>
        <v>0</v>
      </c>
      <c r="BD191" s="10"/>
      <c r="BE191" s="26">
        <f t="shared" si="264"/>
        <v>0</v>
      </c>
      <c r="BF191" s="104">
        <f t="shared" si="264"/>
        <v>0</v>
      </c>
      <c r="BG191" s="104"/>
      <c r="BH191" s="104">
        <f t="shared" si="265"/>
        <v>0</v>
      </c>
      <c r="BI191" s="104"/>
      <c r="BJ191" s="104">
        <f t="shared" si="266"/>
        <v>0</v>
      </c>
      <c r="BK191" s="104"/>
      <c r="BL191" s="104"/>
      <c r="BM191" s="104"/>
      <c r="BN191" s="104" t="s">
        <v>1635</v>
      </c>
      <c r="BO191" s="104" t="s">
        <v>1636</v>
      </c>
      <c r="BP191" s="104" t="s">
        <v>1637</v>
      </c>
      <c r="BQ191" s="104" t="s">
        <v>1001</v>
      </c>
      <c r="BR191" s="104" t="s">
        <v>1002</v>
      </c>
      <c r="BS191" s="104" t="s">
        <v>11</v>
      </c>
      <c r="BT191" s="55" t="s">
        <v>11</v>
      </c>
    </row>
    <row r="192" spans="1:77" ht="48.75" customHeight="1" outlineLevel="1" x14ac:dyDescent="0.25">
      <c r="A192" s="106"/>
      <c r="B192" s="59">
        <v>6</v>
      </c>
      <c r="C192" s="13" t="s">
        <v>307</v>
      </c>
      <c r="D192" s="13" t="s">
        <v>308</v>
      </c>
      <c r="E192" s="104" t="s">
        <v>9</v>
      </c>
      <c r="F192" s="104">
        <v>574098</v>
      </c>
      <c r="G192" s="104">
        <v>562025</v>
      </c>
      <c r="H192" s="104">
        <v>562024</v>
      </c>
      <c r="I192" s="104">
        <f t="shared" si="296"/>
        <v>1</v>
      </c>
      <c r="J192" s="104">
        <v>1</v>
      </c>
      <c r="K192" s="104">
        <v>1</v>
      </c>
      <c r="L192" s="104"/>
      <c r="M192" s="104">
        <v>117909</v>
      </c>
      <c r="N192" s="104">
        <f t="shared" si="302"/>
        <v>444116.66666666669</v>
      </c>
      <c r="O192" s="104">
        <v>335823</v>
      </c>
      <c r="P192" s="104">
        <v>1</v>
      </c>
      <c r="Q192" s="26">
        <v>335823</v>
      </c>
      <c r="R192" s="104">
        <v>1</v>
      </c>
      <c r="S192" s="104">
        <f t="shared" si="256"/>
        <v>-63882</v>
      </c>
      <c r="T192" s="104"/>
      <c r="U192" s="26">
        <f t="shared" si="297"/>
        <v>335823</v>
      </c>
      <c r="V192" s="113">
        <f t="shared" si="297"/>
        <v>1</v>
      </c>
      <c r="W192" s="113">
        <v>335823</v>
      </c>
      <c r="X192" s="113">
        <f t="shared" si="298"/>
        <v>1</v>
      </c>
      <c r="Y192" s="113"/>
      <c r="Z192" s="113">
        <f t="shared" si="299"/>
        <v>0</v>
      </c>
      <c r="AA192" s="118"/>
      <c r="AB192" s="122">
        <v>63882</v>
      </c>
      <c r="AC192" s="26">
        <f t="shared" si="260"/>
        <v>399705</v>
      </c>
      <c r="AD192" s="104">
        <f t="shared" si="260"/>
        <v>1</v>
      </c>
      <c r="AE192" s="104">
        <f>335823+63882</f>
        <v>399705</v>
      </c>
      <c r="AF192" s="104">
        <f t="shared" si="300"/>
        <v>1</v>
      </c>
      <c r="AG192" s="104"/>
      <c r="AH192" s="104">
        <f t="shared" si="301"/>
        <v>0</v>
      </c>
      <c r="AI192" s="104">
        <f t="shared" si="303"/>
        <v>44411.666666666664</v>
      </c>
      <c r="AJ192" s="104">
        <v>1</v>
      </c>
      <c r="AK192" s="104"/>
      <c r="AL192" s="104">
        <v>0</v>
      </c>
      <c r="AM192" s="104">
        <v>0</v>
      </c>
      <c r="AN192" s="104">
        <f t="shared" si="235"/>
        <v>0</v>
      </c>
      <c r="AO192" s="104"/>
      <c r="AP192" s="113">
        <f t="shared" si="304"/>
        <v>-63882</v>
      </c>
      <c r="AQ192" s="113"/>
      <c r="AR192" s="34">
        <f t="shared" si="263"/>
        <v>0</v>
      </c>
      <c r="AS192" s="10">
        <f t="shared" si="263"/>
        <v>0</v>
      </c>
      <c r="AT192" s="10"/>
      <c r="AU192" s="10">
        <f t="shared" si="274"/>
        <v>0</v>
      </c>
      <c r="AV192" s="10"/>
      <c r="AW192" s="10">
        <f t="shared" si="275"/>
        <v>0</v>
      </c>
      <c r="AX192" s="10"/>
      <c r="AY192" s="10"/>
      <c r="AZ192" s="10"/>
      <c r="BA192" s="10">
        <v>0</v>
      </c>
      <c r="BB192" s="10">
        <v>0</v>
      </c>
      <c r="BC192" s="10">
        <f t="shared" si="236"/>
        <v>0</v>
      </c>
      <c r="BD192" s="10"/>
      <c r="BE192" s="26">
        <f t="shared" si="264"/>
        <v>0</v>
      </c>
      <c r="BF192" s="104">
        <f t="shared" si="264"/>
        <v>0</v>
      </c>
      <c r="BG192" s="104"/>
      <c r="BH192" s="104">
        <f t="shared" si="265"/>
        <v>0</v>
      </c>
      <c r="BI192" s="104"/>
      <c r="BJ192" s="104">
        <f t="shared" si="266"/>
        <v>0</v>
      </c>
      <c r="BK192" s="104"/>
      <c r="BL192" s="104"/>
      <c r="BM192" s="104"/>
      <c r="BN192" s="104" t="s">
        <v>911</v>
      </c>
      <c r="BO192" s="104" t="s">
        <v>1638</v>
      </c>
      <c r="BP192" s="104" t="s">
        <v>1000</v>
      </c>
      <c r="BQ192" s="104" t="s">
        <v>997</v>
      </c>
      <c r="BR192" s="104" t="s">
        <v>996</v>
      </c>
      <c r="BS192" s="104" t="s">
        <v>999</v>
      </c>
      <c r="BT192" s="55" t="s">
        <v>998</v>
      </c>
    </row>
    <row r="193" spans="1:72" ht="41.25" customHeight="1" outlineLevel="1" x14ac:dyDescent="0.25">
      <c r="A193" s="106"/>
      <c r="B193" s="59">
        <v>7</v>
      </c>
      <c r="C193" s="104" t="s">
        <v>1156</v>
      </c>
      <c r="D193" s="104" t="s">
        <v>1477</v>
      </c>
      <c r="E193" s="104" t="s">
        <v>196</v>
      </c>
      <c r="F193" s="104">
        <v>578650</v>
      </c>
      <c r="G193" s="104">
        <v>568690</v>
      </c>
      <c r="H193" s="104">
        <v>538832</v>
      </c>
      <c r="I193" s="104">
        <f t="shared" si="296"/>
        <v>29858</v>
      </c>
      <c r="J193" s="104">
        <v>1</v>
      </c>
      <c r="K193" s="104">
        <v>1</v>
      </c>
      <c r="L193" s="104"/>
      <c r="M193" s="104">
        <v>209164</v>
      </c>
      <c r="N193" s="104">
        <f t="shared" si="302"/>
        <v>331118.88888888888</v>
      </c>
      <c r="O193" s="104">
        <v>311821</v>
      </c>
      <c r="P193" s="104">
        <v>1</v>
      </c>
      <c r="Q193" s="26">
        <v>311821</v>
      </c>
      <c r="R193" s="104">
        <v>1</v>
      </c>
      <c r="S193" s="104">
        <f t="shared" si="256"/>
        <v>13814</v>
      </c>
      <c r="T193" s="104"/>
      <c r="U193" s="26">
        <f t="shared" si="297"/>
        <v>284949</v>
      </c>
      <c r="V193" s="113">
        <f t="shared" si="297"/>
        <v>1</v>
      </c>
      <c r="W193" s="113">
        <v>284949</v>
      </c>
      <c r="X193" s="113">
        <f t="shared" si="298"/>
        <v>1</v>
      </c>
      <c r="Y193" s="113"/>
      <c r="Z193" s="113">
        <f t="shared" si="299"/>
        <v>0</v>
      </c>
      <c r="AA193" s="118"/>
      <c r="AB193" s="122">
        <v>13058</v>
      </c>
      <c r="AC193" s="26">
        <f t="shared" si="260"/>
        <v>298007</v>
      </c>
      <c r="AD193" s="104">
        <f t="shared" si="260"/>
        <v>1</v>
      </c>
      <c r="AE193" s="104">
        <f>284949+13058</f>
        <v>298007</v>
      </c>
      <c r="AF193" s="104">
        <f t="shared" si="300"/>
        <v>1</v>
      </c>
      <c r="AG193" s="104"/>
      <c r="AH193" s="104">
        <f t="shared" si="301"/>
        <v>0</v>
      </c>
      <c r="AI193" s="104">
        <f t="shared" si="303"/>
        <v>33111.888888888891</v>
      </c>
      <c r="AJ193" s="104">
        <v>1</v>
      </c>
      <c r="AK193" s="104"/>
      <c r="AL193" s="104">
        <v>0</v>
      </c>
      <c r="AM193" s="104">
        <v>0</v>
      </c>
      <c r="AN193" s="104">
        <f t="shared" si="235"/>
        <v>0</v>
      </c>
      <c r="AO193" s="104"/>
      <c r="AP193" s="113">
        <f t="shared" si="304"/>
        <v>-13058</v>
      </c>
      <c r="AQ193" s="113"/>
      <c r="AR193" s="34">
        <f t="shared" si="263"/>
        <v>0</v>
      </c>
      <c r="AS193" s="10">
        <f t="shared" si="263"/>
        <v>0</v>
      </c>
      <c r="AT193" s="10"/>
      <c r="AU193" s="10">
        <f t="shared" si="274"/>
        <v>0</v>
      </c>
      <c r="AV193" s="10"/>
      <c r="AW193" s="10">
        <f t="shared" si="275"/>
        <v>0</v>
      </c>
      <c r="AX193" s="10"/>
      <c r="AY193" s="10"/>
      <c r="AZ193" s="10"/>
      <c r="BA193" s="10">
        <v>0</v>
      </c>
      <c r="BB193" s="10">
        <v>0</v>
      </c>
      <c r="BC193" s="10">
        <f t="shared" si="236"/>
        <v>0</v>
      </c>
      <c r="BD193" s="10"/>
      <c r="BE193" s="26">
        <f t="shared" si="264"/>
        <v>0</v>
      </c>
      <c r="BF193" s="104">
        <f t="shared" si="264"/>
        <v>0</v>
      </c>
      <c r="BG193" s="104"/>
      <c r="BH193" s="104">
        <f t="shared" si="265"/>
        <v>0</v>
      </c>
      <c r="BI193" s="104"/>
      <c r="BJ193" s="104">
        <f t="shared" si="266"/>
        <v>0</v>
      </c>
      <c r="BK193" s="104"/>
      <c r="BL193" s="104"/>
      <c r="BM193" s="104"/>
      <c r="BN193" s="104" t="s">
        <v>339</v>
      </c>
      <c r="BO193" s="104" t="s">
        <v>1639</v>
      </c>
      <c r="BP193" s="104" t="s">
        <v>341</v>
      </c>
      <c r="BQ193" s="104" t="s">
        <v>990</v>
      </c>
      <c r="BR193" s="104" t="s">
        <v>989</v>
      </c>
      <c r="BS193" s="104" t="s">
        <v>11</v>
      </c>
      <c r="BT193" s="55" t="s">
        <v>340</v>
      </c>
    </row>
    <row r="194" spans="1:72" ht="48" customHeight="1" outlineLevel="1" x14ac:dyDescent="0.25">
      <c r="A194" s="106"/>
      <c r="B194" s="59">
        <v>8</v>
      </c>
      <c r="C194" s="104" t="s">
        <v>1157</v>
      </c>
      <c r="D194" s="104" t="s">
        <v>1158</v>
      </c>
      <c r="E194" s="104" t="s">
        <v>9</v>
      </c>
      <c r="F194" s="104">
        <v>318558</v>
      </c>
      <c r="G194" s="104">
        <v>311556</v>
      </c>
      <c r="H194" s="104">
        <v>305202</v>
      </c>
      <c r="I194" s="104">
        <f t="shared" si="296"/>
        <v>6354</v>
      </c>
      <c r="J194" s="104">
        <v>1</v>
      </c>
      <c r="K194" s="104">
        <v>1</v>
      </c>
      <c r="L194" s="104"/>
      <c r="M194" s="104">
        <v>110952</v>
      </c>
      <c r="N194" s="104">
        <f t="shared" si="302"/>
        <v>194091.11111111112</v>
      </c>
      <c r="O194" s="104">
        <v>180400</v>
      </c>
      <c r="P194" s="104">
        <v>1</v>
      </c>
      <c r="Q194" s="26">
        <v>180400</v>
      </c>
      <c r="R194" s="104">
        <v>1</v>
      </c>
      <c r="S194" s="104">
        <f t="shared" si="256"/>
        <v>5718</v>
      </c>
      <c r="T194" s="104"/>
      <c r="U194" s="26">
        <f t="shared" si="297"/>
        <v>174682</v>
      </c>
      <c r="V194" s="113">
        <f t="shared" si="297"/>
        <v>1</v>
      </c>
      <c r="W194" s="113">
        <v>174682</v>
      </c>
      <c r="X194" s="113">
        <f t="shared" si="298"/>
        <v>1</v>
      </c>
      <c r="Y194" s="113"/>
      <c r="Z194" s="113">
        <f t="shared" si="299"/>
        <v>0</v>
      </c>
      <c r="AA194" s="118"/>
      <c r="AB194" s="122">
        <v>0</v>
      </c>
      <c r="AC194" s="26">
        <f t="shared" si="260"/>
        <v>174682</v>
      </c>
      <c r="AD194" s="104">
        <f t="shared" si="260"/>
        <v>1</v>
      </c>
      <c r="AE194" s="104">
        <f>174682</f>
        <v>174682</v>
      </c>
      <c r="AF194" s="104">
        <f t="shared" si="300"/>
        <v>1</v>
      </c>
      <c r="AG194" s="104"/>
      <c r="AH194" s="104">
        <f t="shared" si="301"/>
        <v>0</v>
      </c>
      <c r="AI194" s="104">
        <f t="shared" si="303"/>
        <v>19409.111111111109</v>
      </c>
      <c r="AJ194" s="104">
        <v>1</v>
      </c>
      <c r="AK194" s="104"/>
      <c r="AL194" s="104">
        <v>0</v>
      </c>
      <c r="AM194" s="104">
        <v>0</v>
      </c>
      <c r="AN194" s="104">
        <f t="shared" si="235"/>
        <v>0</v>
      </c>
      <c r="AO194" s="104"/>
      <c r="AP194" s="113">
        <f t="shared" si="304"/>
        <v>0</v>
      </c>
      <c r="AQ194" s="113"/>
      <c r="AR194" s="34">
        <f t="shared" si="263"/>
        <v>0</v>
      </c>
      <c r="AS194" s="10">
        <f t="shared" si="263"/>
        <v>0</v>
      </c>
      <c r="AT194" s="10"/>
      <c r="AU194" s="10">
        <f t="shared" si="274"/>
        <v>0</v>
      </c>
      <c r="AV194" s="10"/>
      <c r="AW194" s="10">
        <f t="shared" si="275"/>
        <v>0</v>
      </c>
      <c r="AX194" s="10"/>
      <c r="AY194" s="10"/>
      <c r="AZ194" s="10"/>
      <c r="BA194" s="10">
        <v>0</v>
      </c>
      <c r="BB194" s="10">
        <v>0</v>
      </c>
      <c r="BC194" s="10">
        <f t="shared" si="236"/>
        <v>0</v>
      </c>
      <c r="BD194" s="10"/>
      <c r="BE194" s="26">
        <f t="shared" si="264"/>
        <v>0</v>
      </c>
      <c r="BF194" s="104">
        <f t="shared" si="264"/>
        <v>0</v>
      </c>
      <c r="BG194" s="104"/>
      <c r="BH194" s="104">
        <f t="shared" si="265"/>
        <v>0</v>
      </c>
      <c r="BI194" s="104"/>
      <c r="BJ194" s="104">
        <f t="shared" si="266"/>
        <v>0</v>
      </c>
      <c r="BK194" s="104"/>
      <c r="BL194" s="104"/>
      <c r="BM194" s="104"/>
      <c r="BN194" s="104" t="s">
        <v>912</v>
      </c>
      <c r="BO194" s="104" t="s">
        <v>1640</v>
      </c>
      <c r="BP194" s="104" t="s">
        <v>993</v>
      </c>
      <c r="BQ194" s="104" t="s">
        <v>992</v>
      </c>
      <c r="BR194" s="104" t="s">
        <v>991</v>
      </c>
      <c r="BS194" s="104" t="s">
        <v>11</v>
      </c>
      <c r="BT194" s="55" t="s">
        <v>11</v>
      </c>
    </row>
    <row r="195" spans="1:72" ht="48" customHeight="1" outlineLevel="1" x14ac:dyDescent="0.25">
      <c r="A195" s="106"/>
      <c r="B195" s="59"/>
      <c r="C195" s="112" t="s">
        <v>2009</v>
      </c>
      <c r="D195" s="104" t="s">
        <v>2075</v>
      </c>
      <c r="E195" s="104" t="s">
        <v>196</v>
      </c>
      <c r="F195" s="104">
        <v>649840</v>
      </c>
      <c r="G195" s="104">
        <v>622190</v>
      </c>
      <c r="H195" s="104"/>
      <c r="I195" s="104"/>
      <c r="J195" s="104"/>
      <c r="K195" s="104"/>
      <c r="L195" s="104"/>
      <c r="M195" s="104">
        <v>490948</v>
      </c>
      <c r="N195" s="104">
        <f t="shared" si="302"/>
        <v>68894.444444444438</v>
      </c>
      <c r="O195" s="104"/>
      <c r="P195" s="104"/>
      <c r="Q195" s="26"/>
      <c r="R195" s="104"/>
      <c r="S195" s="104"/>
      <c r="T195" s="104"/>
      <c r="U195" s="26"/>
      <c r="V195" s="113"/>
      <c r="W195" s="113"/>
      <c r="X195" s="113"/>
      <c r="Y195" s="113"/>
      <c r="Z195" s="113"/>
      <c r="AA195" s="118"/>
      <c r="AB195" s="122">
        <v>62005</v>
      </c>
      <c r="AC195" s="26">
        <f t="shared" si="260"/>
        <v>62005</v>
      </c>
      <c r="AD195" s="104">
        <f t="shared" si="260"/>
        <v>1</v>
      </c>
      <c r="AE195" s="104">
        <f>62005</f>
        <v>62005</v>
      </c>
      <c r="AF195" s="104">
        <f t="shared" si="300"/>
        <v>1</v>
      </c>
      <c r="AG195" s="104"/>
      <c r="AH195" s="104"/>
      <c r="AI195" s="104">
        <f t="shared" si="303"/>
        <v>6889.4444444444443</v>
      </c>
      <c r="AJ195" s="104"/>
      <c r="AK195" s="104"/>
      <c r="AL195" s="104"/>
      <c r="AM195" s="104"/>
      <c r="AN195" s="104"/>
      <c r="AO195" s="104"/>
      <c r="AP195" s="113">
        <f t="shared" si="304"/>
        <v>-62005</v>
      </c>
      <c r="AQ195" s="113"/>
      <c r="AR195" s="34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26"/>
      <c r="BF195" s="104"/>
      <c r="BG195" s="104"/>
      <c r="BH195" s="104"/>
      <c r="BI195" s="104"/>
      <c r="BJ195" s="104"/>
      <c r="BK195" s="104"/>
      <c r="BL195" s="104"/>
      <c r="BM195" s="104"/>
      <c r="BN195" s="104" t="s">
        <v>2010</v>
      </c>
      <c r="BO195" s="104" t="s">
        <v>2011</v>
      </c>
      <c r="BP195" s="104" t="s">
        <v>2012</v>
      </c>
      <c r="BQ195" s="104" t="s">
        <v>2013</v>
      </c>
      <c r="BR195" s="104" t="s">
        <v>2014</v>
      </c>
      <c r="BS195" s="104"/>
      <c r="BT195" s="55"/>
    </row>
    <row r="196" spans="1:72" ht="78.75" outlineLevel="1" x14ac:dyDescent="0.25">
      <c r="A196" s="106"/>
      <c r="B196" s="59"/>
      <c r="C196" s="112" t="s">
        <v>2015</v>
      </c>
      <c r="D196" s="104" t="s">
        <v>2076</v>
      </c>
      <c r="E196" s="104" t="s">
        <v>196</v>
      </c>
      <c r="F196" s="104">
        <v>722054</v>
      </c>
      <c r="G196" s="104">
        <v>703036</v>
      </c>
      <c r="H196" s="104"/>
      <c r="I196" s="104"/>
      <c r="J196" s="104"/>
      <c r="K196" s="104"/>
      <c r="L196" s="104"/>
      <c r="M196" s="104">
        <v>675378</v>
      </c>
      <c r="N196" s="104">
        <f t="shared" si="302"/>
        <v>27657.777777777777</v>
      </c>
      <c r="O196" s="104"/>
      <c r="P196" s="104"/>
      <c r="Q196" s="26"/>
      <c r="R196" s="104"/>
      <c r="S196" s="104"/>
      <c r="T196" s="104"/>
      <c r="U196" s="26"/>
      <c r="V196" s="113"/>
      <c r="W196" s="113"/>
      <c r="X196" s="113"/>
      <c r="Y196" s="113"/>
      <c r="Z196" s="113"/>
      <c r="AA196" s="118"/>
      <c r="AB196" s="122">
        <v>24892</v>
      </c>
      <c r="AC196" s="26">
        <f t="shared" si="260"/>
        <v>24892</v>
      </c>
      <c r="AD196" s="104">
        <f t="shared" si="260"/>
        <v>1</v>
      </c>
      <c r="AE196" s="104">
        <f>24892</f>
        <v>24892</v>
      </c>
      <c r="AF196" s="104">
        <f t="shared" si="300"/>
        <v>1</v>
      </c>
      <c r="AG196" s="104"/>
      <c r="AH196" s="104"/>
      <c r="AI196" s="104">
        <f t="shared" si="303"/>
        <v>2765.7777777777778</v>
      </c>
      <c r="AJ196" s="104"/>
      <c r="AK196" s="104"/>
      <c r="AL196" s="104"/>
      <c r="AM196" s="104"/>
      <c r="AN196" s="104"/>
      <c r="AO196" s="104"/>
      <c r="AP196" s="113">
        <f t="shared" si="304"/>
        <v>-24892</v>
      </c>
      <c r="AQ196" s="113"/>
      <c r="AR196" s="34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26"/>
      <c r="BF196" s="104"/>
      <c r="BG196" s="104"/>
      <c r="BH196" s="104"/>
      <c r="BI196" s="104"/>
      <c r="BJ196" s="104"/>
      <c r="BK196" s="104"/>
      <c r="BL196" s="104"/>
      <c r="BM196" s="104"/>
      <c r="BN196" s="104" t="s">
        <v>2016</v>
      </c>
      <c r="BO196" s="104" t="s">
        <v>2017</v>
      </c>
      <c r="BP196" s="104" t="s">
        <v>2018</v>
      </c>
      <c r="BQ196" s="104" t="s">
        <v>2019</v>
      </c>
      <c r="BR196" s="104" t="s">
        <v>2020</v>
      </c>
      <c r="BS196" s="104"/>
      <c r="BT196" s="55"/>
    </row>
    <row r="197" spans="1:72" ht="48" customHeight="1" outlineLevel="1" x14ac:dyDescent="0.25">
      <c r="A197" s="106"/>
      <c r="B197" s="59"/>
      <c r="C197" s="112" t="s">
        <v>2021</v>
      </c>
      <c r="D197" s="104" t="s">
        <v>2077</v>
      </c>
      <c r="E197" s="104" t="s">
        <v>196</v>
      </c>
      <c r="F197" s="104">
        <v>1340024</v>
      </c>
      <c r="G197" s="104">
        <v>1306348</v>
      </c>
      <c r="H197" s="104"/>
      <c r="I197" s="104"/>
      <c r="J197" s="104"/>
      <c r="K197" s="104"/>
      <c r="L197" s="104"/>
      <c r="M197" s="104">
        <v>1261903</v>
      </c>
      <c r="N197" s="104">
        <f t="shared" si="302"/>
        <v>44444.444444444445</v>
      </c>
      <c r="O197" s="104"/>
      <c r="P197" s="104"/>
      <c r="Q197" s="26"/>
      <c r="R197" s="104"/>
      <c r="S197" s="104"/>
      <c r="T197" s="104"/>
      <c r="U197" s="26"/>
      <c r="V197" s="113"/>
      <c r="W197" s="113"/>
      <c r="X197" s="113"/>
      <c r="Y197" s="113"/>
      <c r="Z197" s="113"/>
      <c r="AA197" s="118"/>
      <c r="AB197" s="122">
        <v>40000</v>
      </c>
      <c r="AC197" s="26">
        <f t="shared" si="260"/>
        <v>40000</v>
      </c>
      <c r="AD197" s="104">
        <f t="shared" si="260"/>
        <v>1</v>
      </c>
      <c r="AE197" s="104">
        <v>40000</v>
      </c>
      <c r="AF197" s="104">
        <f t="shared" si="300"/>
        <v>1</v>
      </c>
      <c r="AG197" s="104"/>
      <c r="AH197" s="104"/>
      <c r="AI197" s="104">
        <f t="shared" si="303"/>
        <v>4444.4444444444443</v>
      </c>
      <c r="AJ197" s="104"/>
      <c r="AK197" s="104"/>
      <c r="AL197" s="104"/>
      <c r="AM197" s="104"/>
      <c r="AN197" s="104"/>
      <c r="AO197" s="104"/>
      <c r="AP197" s="113">
        <f t="shared" si="304"/>
        <v>-40000</v>
      </c>
      <c r="AQ197" s="113"/>
      <c r="AR197" s="34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26"/>
      <c r="BF197" s="104"/>
      <c r="BG197" s="104"/>
      <c r="BH197" s="104"/>
      <c r="BI197" s="104"/>
      <c r="BJ197" s="104"/>
      <c r="BK197" s="104"/>
      <c r="BL197" s="104"/>
      <c r="BM197" s="104"/>
      <c r="BN197" s="104" t="s">
        <v>2022</v>
      </c>
      <c r="BO197" s="104" t="s">
        <v>2023</v>
      </c>
      <c r="BP197" s="104" t="s">
        <v>2024</v>
      </c>
      <c r="BQ197" s="104" t="s">
        <v>2025</v>
      </c>
      <c r="BR197" s="104" t="s">
        <v>2026</v>
      </c>
      <c r="BS197" s="104"/>
      <c r="BT197" s="55"/>
    </row>
    <row r="198" spans="1:72" ht="48" customHeight="1" outlineLevel="1" x14ac:dyDescent="0.25">
      <c r="A198" s="106"/>
      <c r="B198" s="59"/>
      <c r="C198" s="112" t="s">
        <v>2027</v>
      </c>
      <c r="D198" s="104" t="s">
        <v>2078</v>
      </c>
      <c r="E198" s="104" t="s">
        <v>9</v>
      </c>
      <c r="F198" s="104">
        <v>282969</v>
      </c>
      <c r="G198" s="104">
        <v>279469</v>
      </c>
      <c r="H198" s="104"/>
      <c r="I198" s="104"/>
      <c r="J198" s="104"/>
      <c r="K198" s="104"/>
      <c r="L198" s="104"/>
      <c r="M198" s="104">
        <v>256469</v>
      </c>
      <c r="N198" s="104">
        <f t="shared" si="302"/>
        <v>23000</v>
      </c>
      <c r="O198" s="104"/>
      <c r="P198" s="104"/>
      <c r="Q198" s="26"/>
      <c r="R198" s="104"/>
      <c r="S198" s="104"/>
      <c r="T198" s="104"/>
      <c r="U198" s="26"/>
      <c r="V198" s="113"/>
      <c r="W198" s="113"/>
      <c r="X198" s="113"/>
      <c r="Y198" s="113"/>
      <c r="Z198" s="113"/>
      <c r="AA198" s="118"/>
      <c r="AB198" s="122">
        <v>20700</v>
      </c>
      <c r="AC198" s="26">
        <f t="shared" si="260"/>
        <v>20700</v>
      </c>
      <c r="AD198" s="104">
        <f t="shared" si="260"/>
        <v>1</v>
      </c>
      <c r="AE198" s="104">
        <v>20700</v>
      </c>
      <c r="AF198" s="104">
        <f t="shared" si="300"/>
        <v>1</v>
      </c>
      <c r="AG198" s="104"/>
      <c r="AH198" s="104"/>
      <c r="AI198" s="104">
        <f t="shared" si="303"/>
        <v>2300</v>
      </c>
      <c r="AJ198" s="104"/>
      <c r="AK198" s="104"/>
      <c r="AL198" s="104"/>
      <c r="AM198" s="104"/>
      <c r="AN198" s="104"/>
      <c r="AO198" s="104"/>
      <c r="AP198" s="113">
        <f t="shared" si="304"/>
        <v>-20700</v>
      </c>
      <c r="AQ198" s="113"/>
      <c r="AR198" s="34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26"/>
      <c r="BF198" s="104"/>
      <c r="BG198" s="104"/>
      <c r="BH198" s="104"/>
      <c r="BI198" s="104"/>
      <c r="BJ198" s="104"/>
      <c r="BK198" s="104"/>
      <c r="BL198" s="104"/>
      <c r="BM198" s="104"/>
      <c r="BN198" s="104" t="s">
        <v>2028</v>
      </c>
      <c r="BO198" s="104" t="s">
        <v>2029</v>
      </c>
      <c r="BP198" s="104" t="s">
        <v>2030</v>
      </c>
      <c r="BQ198" s="104" t="s">
        <v>2031</v>
      </c>
      <c r="BR198" s="104" t="s">
        <v>2032</v>
      </c>
      <c r="BS198" s="104" t="s">
        <v>2033</v>
      </c>
      <c r="BT198" s="55"/>
    </row>
    <row r="199" spans="1:72" s="3" customFormat="1" ht="37.5" customHeight="1" outlineLevel="1" x14ac:dyDescent="0.25">
      <c r="A199" s="106"/>
      <c r="B199" s="59">
        <v>9</v>
      </c>
      <c r="C199" s="104" t="s">
        <v>1295</v>
      </c>
      <c r="D199" s="104" t="s">
        <v>1159</v>
      </c>
      <c r="E199" s="104">
        <v>2016</v>
      </c>
      <c r="F199" s="104">
        <v>598426</v>
      </c>
      <c r="G199" s="104">
        <v>578838</v>
      </c>
      <c r="H199" s="104"/>
      <c r="I199" s="104"/>
      <c r="J199" s="104"/>
      <c r="K199" s="104"/>
      <c r="L199" s="104"/>
      <c r="M199" s="104">
        <v>0</v>
      </c>
      <c r="N199" s="104">
        <f t="shared" si="302"/>
        <v>0</v>
      </c>
      <c r="O199" s="104">
        <v>520954</v>
      </c>
      <c r="P199" s="104">
        <v>1</v>
      </c>
      <c r="Q199" s="26">
        <v>0</v>
      </c>
      <c r="R199" s="104">
        <v>0</v>
      </c>
      <c r="S199" s="104">
        <f t="shared" si="256"/>
        <v>0</v>
      </c>
      <c r="T199" s="104"/>
      <c r="U199" s="26">
        <f t="shared" ref="U199:V206" si="306">W199+Y199</f>
        <v>0</v>
      </c>
      <c r="V199" s="113">
        <f t="shared" si="306"/>
        <v>0</v>
      </c>
      <c r="W199" s="113"/>
      <c r="X199" s="113">
        <f t="shared" ref="X199:X206" si="307">IF(W199,1,0)</f>
        <v>0</v>
      </c>
      <c r="Y199" s="113"/>
      <c r="Z199" s="113">
        <f t="shared" ref="Z199:Z206" si="308">IF(Y199,1,0)</f>
        <v>0</v>
      </c>
      <c r="AA199" s="118">
        <v>0</v>
      </c>
      <c r="AB199" s="122"/>
      <c r="AC199" s="26">
        <f t="shared" si="260"/>
        <v>0</v>
      </c>
      <c r="AD199" s="104">
        <f t="shared" si="260"/>
        <v>0</v>
      </c>
      <c r="AE199" s="104"/>
      <c r="AF199" s="104">
        <f t="shared" si="300"/>
        <v>0</v>
      </c>
      <c r="AG199" s="104"/>
      <c r="AH199" s="104">
        <f t="shared" si="301"/>
        <v>0</v>
      </c>
      <c r="AI199" s="104">
        <f t="shared" si="303"/>
        <v>0</v>
      </c>
      <c r="AJ199" s="104"/>
      <c r="AK199" s="104"/>
      <c r="AL199" s="104">
        <v>520954</v>
      </c>
      <c r="AM199" s="104">
        <v>1</v>
      </c>
      <c r="AN199" s="104">
        <f t="shared" si="235"/>
        <v>0</v>
      </c>
      <c r="AO199" s="104"/>
      <c r="AP199" s="113">
        <f t="shared" si="304"/>
        <v>0</v>
      </c>
      <c r="AQ199" s="113"/>
      <c r="AR199" s="34">
        <f t="shared" si="263"/>
        <v>520954</v>
      </c>
      <c r="AS199" s="10">
        <f t="shared" si="263"/>
        <v>1</v>
      </c>
      <c r="AT199" s="10"/>
      <c r="AU199" s="10">
        <f t="shared" si="274"/>
        <v>0</v>
      </c>
      <c r="AV199" s="10">
        <v>520954</v>
      </c>
      <c r="AW199" s="10">
        <f t="shared" si="275"/>
        <v>1</v>
      </c>
      <c r="AX199" s="10">
        <f>AR199/0.9*0.1</f>
        <v>57883.777777777781</v>
      </c>
      <c r="AY199" s="10">
        <v>1</v>
      </c>
      <c r="AZ199" s="10"/>
      <c r="BA199" s="10">
        <v>0</v>
      </c>
      <c r="BB199" s="10">
        <v>0</v>
      </c>
      <c r="BC199" s="10">
        <f t="shared" si="236"/>
        <v>0</v>
      </c>
      <c r="BD199" s="10"/>
      <c r="BE199" s="26">
        <f t="shared" si="264"/>
        <v>0</v>
      </c>
      <c r="BF199" s="104">
        <f t="shared" si="264"/>
        <v>0</v>
      </c>
      <c r="BG199" s="104"/>
      <c r="BH199" s="104">
        <f t="shared" si="265"/>
        <v>0</v>
      </c>
      <c r="BI199" s="104"/>
      <c r="BJ199" s="104">
        <f t="shared" si="266"/>
        <v>0</v>
      </c>
      <c r="BK199" s="104"/>
      <c r="BL199" s="104"/>
      <c r="BM199" s="104"/>
      <c r="BN199" s="104" t="s">
        <v>913</v>
      </c>
      <c r="BO199" s="104" t="s">
        <v>1641</v>
      </c>
      <c r="BP199" s="104" t="s">
        <v>1642</v>
      </c>
      <c r="BQ199" s="104" t="s">
        <v>986</v>
      </c>
      <c r="BR199" s="104" t="s">
        <v>985</v>
      </c>
      <c r="BS199" s="104" t="s">
        <v>988</v>
      </c>
      <c r="BT199" s="55" t="s">
        <v>987</v>
      </c>
    </row>
    <row r="200" spans="1:72" s="3" customFormat="1" ht="43.5" customHeight="1" outlineLevel="1" x14ac:dyDescent="0.25">
      <c r="A200" s="106"/>
      <c r="B200" s="59">
        <v>10</v>
      </c>
      <c r="C200" s="104" t="s">
        <v>342</v>
      </c>
      <c r="D200" s="41" t="s">
        <v>1160</v>
      </c>
      <c r="E200" s="104">
        <v>2016</v>
      </c>
      <c r="F200" s="104">
        <v>204817</v>
      </c>
      <c r="G200" s="104">
        <v>192816</v>
      </c>
      <c r="H200" s="104"/>
      <c r="I200" s="104"/>
      <c r="J200" s="104"/>
      <c r="K200" s="104"/>
      <c r="L200" s="104"/>
      <c r="M200" s="104">
        <v>0</v>
      </c>
      <c r="N200" s="104">
        <f t="shared" si="302"/>
        <v>0</v>
      </c>
      <c r="O200" s="104">
        <v>173534</v>
      </c>
      <c r="P200" s="104">
        <v>1</v>
      </c>
      <c r="Q200" s="26">
        <v>0</v>
      </c>
      <c r="R200" s="104">
        <v>0</v>
      </c>
      <c r="S200" s="104">
        <f t="shared" si="256"/>
        <v>0</v>
      </c>
      <c r="T200" s="104"/>
      <c r="U200" s="26">
        <f t="shared" si="306"/>
        <v>0</v>
      </c>
      <c r="V200" s="113">
        <f t="shared" si="306"/>
        <v>0</v>
      </c>
      <c r="W200" s="113"/>
      <c r="X200" s="113">
        <f t="shared" si="307"/>
        <v>0</v>
      </c>
      <c r="Y200" s="113"/>
      <c r="Z200" s="113">
        <f t="shared" si="308"/>
        <v>0</v>
      </c>
      <c r="AA200" s="118">
        <v>0</v>
      </c>
      <c r="AB200" s="122"/>
      <c r="AC200" s="26">
        <f t="shared" si="260"/>
        <v>0</v>
      </c>
      <c r="AD200" s="104">
        <f t="shared" si="260"/>
        <v>0</v>
      </c>
      <c r="AE200" s="104"/>
      <c r="AF200" s="104">
        <f t="shared" si="300"/>
        <v>0</v>
      </c>
      <c r="AG200" s="104"/>
      <c r="AH200" s="104">
        <f t="shared" si="301"/>
        <v>0</v>
      </c>
      <c r="AI200" s="104">
        <f t="shared" si="303"/>
        <v>0</v>
      </c>
      <c r="AJ200" s="104"/>
      <c r="AK200" s="104"/>
      <c r="AL200" s="104">
        <v>173534</v>
      </c>
      <c r="AM200" s="104">
        <v>1</v>
      </c>
      <c r="AN200" s="104">
        <f t="shared" si="235"/>
        <v>0</v>
      </c>
      <c r="AO200" s="104"/>
      <c r="AP200" s="113">
        <f t="shared" si="304"/>
        <v>0</v>
      </c>
      <c r="AQ200" s="113"/>
      <c r="AR200" s="34">
        <f t="shared" si="263"/>
        <v>173534</v>
      </c>
      <c r="AS200" s="10">
        <f t="shared" si="263"/>
        <v>1</v>
      </c>
      <c r="AT200" s="15"/>
      <c r="AU200" s="10">
        <f t="shared" si="274"/>
        <v>0</v>
      </c>
      <c r="AV200" s="15">
        <v>173534</v>
      </c>
      <c r="AW200" s="10">
        <f t="shared" si="275"/>
        <v>1</v>
      </c>
      <c r="AX200" s="15">
        <f>AV200/0.9*0.1</f>
        <v>19281.555555555558</v>
      </c>
      <c r="AY200" s="15">
        <v>1</v>
      </c>
      <c r="AZ200" s="15"/>
      <c r="BA200" s="15">
        <v>0</v>
      </c>
      <c r="BB200" s="15">
        <v>0</v>
      </c>
      <c r="BC200" s="10">
        <f t="shared" si="236"/>
        <v>0</v>
      </c>
      <c r="BD200" s="15"/>
      <c r="BE200" s="26">
        <f t="shared" si="264"/>
        <v>0</v>
      </c>
      <c r="BF200" s="104">
        <f t="shared" si="264"/>
        <v>0</v>
      </c>
      <c r="BG200" s="104"/>
      <c r="BH200" s="104">
        <f t="shared" si="265"/>
        <v>0</v>
      </c>
      <c r="BI200" s="104"/>
      <c r="BJ200" s="104">
        <f t="shared" si="266"/>
        <v>0</v>
      </c>
      <c r="BK200" s="104"/>
      <c r="BL200" s="104"/>
      <c r="BM200" s="104"/>
      <c r="BN200" s="104" t="s">
        <v>343</v>
      </c>
      <c r="BO200" s="104" t="s">
        <v>1711</v>
      </c>
      <c r="BP200" s="104" t="s">
        <v>344</v>
      </c>
      <c r="BQ200" s="104" t="s">
        <v>345</v>
      </c>
      <c r="BR200" s="104" t="s">
        <v>346</v>
      </c>
      <c r="BS200" s="104" t="s">
        <v>347</v>
      </c>
      <c r="BT200" s="55" t="s">
        <v>348</v>
      </c>
    </row>
    <row r="201" spans="1:72" s="3" customFormat="1" ht="44.25" customHeight="1" outlineLevel="1" x14ac:dyDescent="0.25">
      <c r="A201" s="106"/>
      <c r="B201" s="59">
        <v>11</v>
      </c>
      <c r="C201" s="104" t="s">
        <v>1161</v>
      </c>
      <c r="D201" s="104" t="s">
        <v>350</v>
      </c>
      <c r="E201" s="104">
        <v>2016</v>
      </c>
      <c r="F201" s="104">
        <v>323184</v>
      </c>
      <c r="G201" s="104">
        <v>311184</v>
      </c>
      <c r="H201" s="104"/>
      <c r="I201" s="104"/>
      <c r="J201" s="104"/>
      <c r="K201" s="104"/>
      <c r="L201" s="104"/>
      <c r="M201" s="104">
        <v>0</v>
      </c>
      <c r="N201" s="104">
        <f t="shared" si="302"/>
        <v>0</v>
      </c>
      <c r="O201" s="104">
        <v>135000</v>
      </c>
      <c r="P201" s="104">
        <v>1</v>
      </c>
      <c r="Q201" s="26">
        <v>0</v>
      </c>
      <c r="R201" s="104">
        <v>0</v>
      </c>
      <c r="S201" s="104">
        <f t="shared" si="256"/>
        <v>0</v>
      </c>
      <c r="T201" s="104"/>
      <c r="U201" s="26">
        <f t="shared" si="306"/>
        <v>0</v>
      </c>
      <c r="V201" s="113">
        <f t="shared" si="306"/>
        <v>0</v>
      </c>
      <c r="W201" s="113"/>
      <c r="X201" s="113">
        <f t="shared" si="307"/>
        <v>0</v>
      </c>
      <c r="Y201" s="113"/>
      <c r="Z201" s="113">
        <f t="shared" si="308"/>
        <v>0</v>
      </c>
      <c r="AA201" s="118">
        <v>0</v>
      </c>
      <c r="AB201" s="122"/>
      <c r="AC201" s="26">
        <f t="shared" si="260"/>
        <v>0</v>
      </c>
      <c r="AD201" s="104">
        <f t="shared" si="260"/>
        <v>0</v>
      </c>
      <c r="AE201" s="104"/>
      <c r="AF201" s="104">
        <f t="shared" si="300"/>
        <v>0</v>
      </c>
      <c r="AG201" s="104"/>
      <c r="AH201" s="104">
        <f t="shared" si="301"/>
        <v>0</v>
      </c>
      <c r="AI201" s="104">
        <f t="shared" si="303"/>
        <v>0</v>
      </c>
      <c r="AJ201" s="104"/>
      <c r="AK201" s="104"/>
      <c r="AL201" s="104">
        <v>280066</v>
      </c>
      <c r="AM201" s="104">
        <v>1</v>
      </c>
      <c r="AN201" s="104">
        <f t="shared" si="235"/>
        <v>0</v>
      </c>
      <c r="AO201" s="104"/>
      <c r="AP201" s="113">
        <f t="shared" si="304"/>
        <v>0</v>
      </c>
      <c r="AQ201" s="113"/>
      <c r="AR201" s="34">
        <f t="shared" si="263"/>
        <v>280066</v>
      </c>
      <c r="AS201" s="10">
        <f t="shared" si="263"/>
        <v>1</v>
      </c>
      <c r="AT201" s="10"/>
      <c r="AU201" s="10">
        <f t="shared" si="274"/>
        <v>0</v>
      </c>
      <c r="AV201" s="10">
        <v>280066</v>
      </c>
      <c r="AW201" s="10">
        <f t="shared" si="275"/>
        <v>1</v>
      </c>
      <c r="AX201" s="10">
        <f>AV201/0.9*0.1</f>
        <v>31118.444444444445</v>
      </c>
      <c r="AY201" s="10">
        <v>1</v>
      </c>
      <c r="AZ201" s="10"/>
      <c r="BA201" s="10">
        <v>0</v>
      </c>
      <c r="BB201" s="10">
        <v>0</v>
      </c>
      <c r="BC201" s="10">
        <f t="shared" si="236"/>
        <v>0</v>
      </c>
      <c r="BD201" s="10"/>
      <c r="BE201" s="26">
        <f t="shared" si="264"/>
        <v>0</v>
      </c>
      <c r="BF201" s="104">
        <f t="shared" si="264"/>
        <v>0</v>
      </c>
      <c r="BG201" s="104"/>
      <c r="BH201" s="104">
        <f t="shared" si="265"/>
        <v>0</v>
      </c>
      <c r="BI201" s="104"/>
      <c r="BJ201" s="104">
        <f t="shared" si="266"/>
        <v>0</v>
      </c>
      <c r="BK201" s="104">
        <f>BE201/0.9*0.1</f>
        <v>0</v>
      </c>
      <c r="BL201" s="104"/>
      <c r="BM201" s="104"/>
      <c r="BN201" s="104" t="s">
        <v>349</v>
      </c>
      <c r="BO201" s="104" t="s">
        <v>1643</v>
      </c>
      <c r="BP201" s="104" t="s">
        <v>353</v>
      </c>
      <c r="BQ201" s="104" t="s">
        <v>351</v>
      </c>
      <c r="BR201" s="104" t="s">
        <v>352</v>
      </c>
      <c r="BS201" s="104" t="s">
        <v>355</v>
      </c>
      <c r="BT201" s="55" t="s">
        <v>354</v>
      </c>
    </row>
    <row r="202" spans="1:72" s="3" customFormat="1" ht="39" customHeight="1" outlineLevel="1" x14ac:dyDescent="0.25">
      <c r="A202" s="106"/>
      <c r="B202" s="59">
        <v>12</v>
      </c>
      <c r="C202" s="104" t="s">
        <v>357</v>
      </c>
      <c r="D202" s="104" t="s">
        <v>358</v>
      </c>
      <c r="E202" s="104">
        <v>2016</v>
      </c>
      <c r="F202" s="104">
        <v>183880</v>
      </c>
      <c r="G202" s="104">
        <v>179358</v>
      </c>
      <c r="H202" s="104"/>
      <c r="I202" s="104"/>
      <c r="J202" s="104"/>
      <c r="K202" s="104"/>
      <c r="L202" s="104"/>
      <c r="M202" s="104">
        <v>0</v>
      </c>
      <c r="N202" s="104">
        <f t="shared" si="302"/>
        <v>0</v>
      </c>
      <c r="O202" s="104">
        <v>161422</v>
      </c>
      <c r="P202" s="104">
        <v>1</v>
      </c>
      <c r="Q202" s="26">
        <v>0</v>
      </c>
      <c r="R202" s="104">
        <v>0</v>
      </c>
      <c r="S202" s="104">
        <f t="shared" si="256"/>
        <v>0</v>
      </c>
      <c r="T202" s="104"/>
      <c r="U202" s="26">
        <f t="shared" si="306"/>
        <v>0</v>
      </c>
      <c r="V202" s="113">
        <f t="shared" si="306"/>
        <v>0</v>
      </c>
      <c r="W202" s="113"/>
      <c r="X202" s="113">
        <f t="shared" si="307"/>
        <v>0</v>
      </c>
      <c r="Y202" s="113"/>
      <c r="Z202" s="113">
        <f t="shared" si="308"/>
        <v>0</v>
      </c>
      <c r="AA202" s="118">
        <v>0</v>
      </c>
      <c r="AB202" s="122"/>
      <c r="AC202" s="26">
        <f t="shared" si="260"/>
        <v>0</v>
      </c>
      <c r="AD202" s="104">
        <f t="shared" si="260"/>
        <v>0</v>
      </c>
      <c r="AE202" s="104"/>
      <c r="AF202" s="104">
        <f t="shared" si="300"/>
        <v>0</v>
      </c>
      <c r="AG202" s="104"/>
      <c r="AH202" s="104">
        <f t="shared" si="301"/>
        <v>0</v>
      </c>
      <c r="AI202" s="104">
        <f t="shared" si="303"/>
        <v>0</v>
      </c>
      <c r="AJ202" s="104"/>
      <c r="AK202" s="104"/>
      <c r="AL202" s="104">
        <v>161422</v>
      </c>
      <c r="AM202" s="104">
        <v>1</v>
      </c>
      <c r="AN202" s="104">
        <f t="shared" si="235"/>
        <v>0</v>
      </c>
      <c r="AO202" s="104"/>
      <c r="AP202" s="113">
        <f t="shared" si="304"/>
        <v>0</v>
      </c>
      <c r="AQ202" s="113"/>
      <c r="AR202" s="34">
        <f t="shared" si="263"/>
        <v>161422</v>
      </c>
      <c r="AS202" s="10">
        <f t="shared" si="263"/>
        <v>1</v>
      </c>
      <c r="AT202" s="10">
        <v>0</v>
      </c>
      <c r="AU202" s="10">
        <f t="shared" si="274"/>
        <v>0</v>
      </c>
      <c r="AV202" s="10">
        <v>161422</v>
      </c>
      <c r="AW202" s="10">
        <f t="shared" si="275"/>
        <v>1</v>
      </c>
      <c r="AX202" s="10">
        <f>AV202/0.9*0.1</f>
        <v>17935.777777777777</v>
      </c>
      <c r="AY202" s="10">
        <v>1</v>
      </c>
      <c r="AZ202" s="10"/>
      <c r="BA202" s="10">
        <v>0</v>
      </c>
      <c r="BB202" s="10">
        <v>0</v>
      </c>
      <c r="BC202" s="10">
        <f t="shared" si="236"/>
        <v>0</v>
      </c>
      <c r="BD202" s="10"/>
      <c r="BE202" s="26">
        <f t="shared" si="264"/>
        <v>0</v>
      </c>
      <c r="BF202" s="104">
        <f t="shared" si="264"/>
        <v>0</v>
      </c>
      <c r="BG202" s="104"/>
      <c r="BH202" s="104">
        <f t="shared" si="265"/>
        <v>0</v>
      </c>
      <c r="BI202" s="104"/>
      <c r="BJ202" s="104">
        <f t="shared" si="266"/>
        <v>0</v>
      </c>
      <c r="BK202" s="104"/>
      <c r="BL202" s="104"/>
      <c r="BM202" s="104"/>
      <c r="BN202" s="104" t="s">
        <v>356</v>
      </c>
      <c r="BO202" s="104" t="s">
        <v>1644</v>
      </c>
      <c r="BP202" s="104" t="s">
        <v>363</v>
      </c>
      <c r="BQ202" s="104" t="s">
        <v>359</v>
      </c>
      <c r="BR202" s="104" t="s">
        <v>360</v>
      </c>
      <c r="BS202" s="104" t="s">
        <v>361</v>
      </c>
      <c r="BT202" s="55" t="s">
        <v>362</v>
      </c>
    </row>
    <row r="203" spans="1:72" s="3" customFormat="1" ht="38.25" customHeight="1" outlineLevel="1" x14ac:dyDescent="0.25">
      <c r="A203" s="106"/>
      <c r="B203" s="59">
        <v>13</v>
      </c>
      <c r="C203" s="104" t="s">
        <v>1110</v>
      </c>
      <c r="D203" s="104" t="s">
        <v>365</v>
      </c>
      <c r="E203" s="104" t="s">
        <v>10</v>
      </c>
      <c r="F203" s="104">
        <v>1071989</v>
      </c>
      <c r="G203" s="104">
        <v>1051980</v>
      </c>
      <c r="H203" s="104"/>
      <c r="I203" s="104"/>
      <c r="J203" s="104"/>
      <c r="K203" s="104"/>
      <c r="L203" s="104"/>
      <c r="M203" s="104">
        <v>0</v>
      </c>
      <c r="N203" s="104">
        <f t="shared" si="302"/>
        <v>0</v>
      </c>
      <c r="O203" s="104">
        <v>467213</v>
      </c>
      <c r="P203" s="104">
        <v>1</v>
      </c>
      <c r="Q203" s="26">
        <v>167823</v>
      </c>
      <c r="R203" s="104">
        <v>1</v>
      </c>
      <c r="S203" s="104">
        <f t="shared" si="256"/>
        <v>167823</v>
      </c>
      <c r="T203" s="104"/>
      <c r="U203" s="26">
        <f t="shared" si="306"/>
        <v>267823</v>
      </c>
      <c r="V203" s="113">
        <f t="shared" si="306"/>
        <v>1</v>
      </c>
      <c r="W203" s="113"/>
      <c r="X203" s="113">
        <f t="shared" si="307"/>
        <v>0</v>
      </c>
      <c r="Y203" s="113">
        <v>267823</v>
      </c>
      <c r="Z203" s="113">
        <f t="shared" si="308"/>
        <v>1</v>
      </c>
      <c r="AA203" s="118">
        <v>-267823</v>
      </c>
      <c r="AB203" s="122"/>
      <c r="AC203" s="26">
        <f t="shared" si="260"/>
        <v>0</v>
      </c>
      <c r="AD203" s="104">
        <f t="shared" si="260"/>
        <v>0</v>
      </c>
      <c r="AE203" s="104"/>
      <c r="AF203" s="104">
        <f t="shared" si="300"/>
        <v>0</v>
      </c>
      <c r="AG203" s="104"/>
      <c r="AH203" s="104">
        <f t="shared" si="301"/>
        <v>0</v>
      </c>
      <c r="AI203" s="104">
        <f t="shared" si="303"/>
        <v>0</v>
      </c>
      <c r="AJ203" s="104"/>
      <c r="AK203" s="104">
        <v>1</v>
      </c>
      <c r="AL203" s="104">
        <v>778959</v>
      </c>
      <c r="AM203" s="104">
        <v>1</v>
      </c>
      <c r="AN203" s="104">
        <f t="shared" si="235"/>
        <v>-67823</v>
      </c>
      <c r="AO203" s="104"/>
      <c r="AP203" s="113">
        <f t="shared" si="304"/>
        <v>267823</v>
      </c>
      <c r="AQ203" s="113"/>
      <c r="AR203" s="34">
        <f t="shared" si="263"/>
        <v>846782</v>
      </c>
      <c r="AS203" s="10">
        <f t="shared" si="263"/>
        <v>1</v>
      </c>
      <c r="AT203" s="10">
        <f>678959+167823</f>
        <v>846782</v>
      </c>
      <c r="AU203" s="10">
        <f t="shared" si="274"/>
        <v>1</v>
      </c>
      <c r="AV203" s="10"/>
      <c r="AW203" s="10">
        <f t="shared" si="275"/>
        <v>0</v>
      </c>
      <c r="AX203" s="10">
        <f>AR203/0.9*0.1</f>
        <v>94086.888888888891</v>
      </c>
      <c r="AY203" s="10">
        <v>1</v>
      </c>
      <c r="AZ203" s="10"/>
      <c r="BA203" s="10">
        <v>0</v>
      </c>
      <c r="BB203" s="10">
        <v>0</v>
      </c>
      <c r="BC203" s="10">
        <f t="shared" si="236"/>
        <v>0</v>
      </c>
      <c r="BD203" s="10"/>
      <c r="BE203" s="26">
        <f t="shared" si="264"/>
        <v>0</v>
      </c>
      <c r="BF203" s="104">
        <f t="shared" si="264"/>
        <v>0</v>
      </c>
      <c r="BG203" s="104"/>
      <c r="BH203" s="104">
        <f t="shared" si="265"/>
        <v>0</v>
      </c>
      <c r="BI203" s="104"/>
      <c r="BJ203" s="104">
        <f t="shared" si="266"/>
        <v>0</v>
      </c>
      <c r="BK203" s="104"/>
      <c r="BL203" s="104"/>
      <c r="BM203" s="104"/>
      <c r="BN203" s="104" t="s">
        <v>364</v>
      </c>
      <c r="BO203" s="104" t="s">
        <v>1631</v>
      </c>
      <c r="BP203" s="104" t="s">
        <v>370</v>
      </c>
      <c r="BQ203" s="104" t="s">
        <v>368</v>
      </c>
      <c r="BR203" s="104" t="s">
        <v>369</v>
      </c>
      <c r="BS203" s="104" t="s">
        <v>366</v>
      </c>
      <c r="BT203" s="55" t="s">
        <v>367</v>
      </c>
    </row>
    <row r="204" spans="1:72" s="3" customFormat="1" ht="53.25" customHeight="1" outlineLevel="1" x14ac:dyDescent="0.25">
      <c r="A204" s="106"/>
      <c r="B204" s="59">
        <v>14</v>
      </c>
      <c r="C204" s="67" t="s">
        <v>1296</v>
      </c>
      <c r="D204" s="41" t="s">
        <v>1162</v>
      </c>
      <c r="E204" s="104" t="s">
        <v>1735</v>
      </c>
      <c r="F204" s="104">
        <v>1238650</v>
      </c>
      <c r="G204" s="104">
        <v>1211050</v>
      </c>
      <c r="H204" s="104"/>
      <c r="I204" s="104"/>
      <c r="J204" s="104"/>
      <c r="K204" s="104"/>
      <c r="L204" s="104"/>
      <c r="M204" s="104">
        <v>0</v>
      </c>
      <c r="N204" s="104">
        <f t="shared" si="302"/>
        <v>0</v>
      </c>
      <c r="O204" s="104">
        <v>540000</v>
      </c>
      <c r="P204" s="104">
        <v>1</v>
      </c>
      <c r="Q204" s="26">
        <v>100000</v>
      </c>
      <c r="R204" s="104">
        <v>1</v>
      </c>
      <c r="S204" s="104">
        <f t="shared" si="256"/>
        <v>100000</v>
      </c>
      <c r="T204" s="104"/>
      <c r="U204" s="26">
        <f t="shared" si="306"/>
        <v>280000</v>
      </c>
      <c r="V204" s="113">
        <f t="shared" si="306"/>
        <v>1</v>
      </c>
      <c r="W204" s="113"/>
      <c r="X204" s="113">
        <f t="shared" si="307"/>
        <v>0</v>
      </c>
      <c r="Y204" s="113">
        <v>280000</v>
      </c>
      <c r="Z204" s="113">
        <f t="shared" si="308"/>
        <v>1</v>
      </c>
      <c r="AA204" s="118">
        <v>-280000</v>
      </c>
      <c r="AB204" s="122"/>
      <c r="AC204" s="26">
        <f t="shared" si="260"/>
        <v>0</v>
      </c>
      <c r="AD204" s="104">
        <f t="shared" si="260"/>
        <v>0</v>
      </c>
      <c r="AE204" s="104"/>
      <c r="AF204" s="104">
        <f t="shared" si="300"/>
        <v>0</v>
      </c>
      <c r="AG204" s="104"/>
      <c r="AH204" s="104">
        <f t="shared" si="301"/>
        <v>0</v>
      </c>
      <c r="AI204" s="104">
        <f t="shared" si="303"/>
        <v>0</v>
      </c>
      <c r="AJ204" s="104"/>
      <c r="AK204" s="104">
        <v>1</v>
      </c>
      <c r="AL204" s="104">
        <v>989947</v>
      </c>
      <c r="AM204" s="104">
        <v>1</v>
      </c>
      <c r="AN204" s="104">
        <f t="shared" si="235"/>
        <v>0</v>
      </c>
      <c r="AO204" s="104"/>
      <c r="AP204" s="113">
        <f t="shared" si="304"/>
        <v>280000</v>
      </c>
      <c r="AQ204" s="113"/>
      <c r="AR204" s="34">
        <f t="shared" si="263"/>
        <v>989947</v>
      </c>
      <c r="AS204" s="10">
        <f t="shared" si="263"/>
        <v>1</v>
      </c>
      <c r="AT204" s="10">
        <f>809947+180000</f>
        <v>989947</v>
      </c>
      <c r="AU204" s="10">
        <f t="shared" si="274"/>
        <v>1</v>
      </c>
      <c r="AV204" s="10">
        <v>0</v>
      </c>
      <c r="AW204" s="10">
        <v>0</v>
      </c>
      <c r="AX204" s="10">
        <f>AR204/0.9*0.1</f>
        <v>109994.11111111111</v>
      </c>
      <c r="AY204" s="10">
        <v>1</v>
      </c>
      <c r="AZ204" s="10"/>
      <c r="BA204" s="10">
        <v>99998</v>
      </c>
      <c r="BB204" s="10">
        <v>1</v>
      </c>
      <c r="BC204" s="10">
        <f t="shared" si="236"/>
        <v>99998</v>
      </c>
      <c r="BD204" s="10"/>
      <c r="BE204" s="26">
        <f t="shared" ref="BE204:BF245" si="309">BG204+BI204</f>
        <v>0</v>
      </c>
      <c r="BF204" s="104">
        <f t="shared" si="309"/>
        <v>0</v>
      </c>
      <c r="BG204" s="104"/>
      <c r="BH204" s="104">
        <f t="shared" si="265"/>
        <v>0</v>
      </c>
      <c r="BI204" s="104"/>
      <c r="BJ204" s="104">
        <f t="shared" si="266"/>
        <v>0</v>
      </c>
      <c r="BK204" s="104">
        <f>BE204/0.9*0.1</f>
        <v>0</v>
      </c>
      <c r="BL204" s="104"/>
      <c r="BM204" s="104"/>
      <c r="BN204" s="104" t="s">
        <v>372</v>
      </c>
      <c r="BO204" s="104" t="s">
        <v>1645</v>
      </c>
      <c r="BP204" s="104" t="s">
        <v>375</v>
      </c>
      <c r="BQ204" s="104" t="s">
        <v>374</v>
      </c>
      <c r="BR204" s="104" t="s">
        <v>373</v>
      </c>
      <c r="BS204" s="104" t="s">
        <v>1163</v>
      </c>
      <c r="BT204" s="55" t="s">
        <v>376</v>
      </c>
    </row>
    <row r="205" spans="1:72" s="3" customFormat="1" ht="45.75" customHeight="1" outlineLevel="1" x14ac:dyDescent="0.25">
      <c r="A205" s="106"/>
      <c r="B205" s="59">
        <v>15</v>
      </c>
      <c r="C205" s="67" t="s">
        <v>1297</v>
      </c>
      <c r="D205" s="104" t="s">
        <v>378</v>
      </c>
      <c r="E205" s="104">
        <v>2016</v>
      </c>
      <c r="F205" s="104">
        <v>313326</v>
      </c>
      <c r="G205" s="104">
        <v>307176</v>
      </c>
      <c r="H205" s="104"/>
      <c r="I205" s="104"/>
      <c r="J205" s="104"/>
      <c r="K205" s="104"/>
      <c r="L205" s="104"/>
      <c r="M205" s="104">
        <v>0</v>
      </c>
      <c r="N205" s="104">
        <f t="shared" si="302"/>
        <v>0</v>
      </c>
      <c r="O205" s="104">
        <v>135000</v>
      </c>
      <c r="P205" s="104">
        <v>1</v>
      </c>
      <c r="Q205" s="26">
        <v>0</v>
      </c>
      <c r="R205" s="104">
        <v>0</v>
      </c>
      <c r="S205" s="104">
        <f t="shared" si="256"/>
        <v>0</v>
      </c>
      <c r="T205" s="104"/>
      <c r="U205" s="26">
        <f t="shared" si="306"/>
        <v>0</v>
      </c>
      <c r="V205" s="113">
        <f t="shared" si="306"/>
        <v>0</v>
      </c>
      <c r="W205" s="113"/>
      <c r="X205" s="113">
        <f t="shared" si="307"/>
        <v>0</v>
      </c>
      <c r="Y205" s="113"/>
      <c r="Z205" s="113">
        <f t="shared" si="308"/>
        <v>0</v>
      </c>
      <c r="AA205" s="118">
        <v>0</v>
      </c>
      <c r="AB205" s="122"/>
      <c r="AC205" s="26">
        <f t="shared" si="260"/>
        <v>0</v>
      </c>
      <c r="AD205" s="104">
        <f t="shared" si="260"/>
        <v>0</v>
      </c>
      <c r="AE205" s="104"/>
      <c r="AF205" s="104">
        <f t="shared" si="300"/>
        <v>0</v>
      </c>
      <c r="AG205" s="104"/>
      <c r="AH205" s="104">
        <f t="shared" si="301"/>
        <v>0</v>
      </c>
      <c r="AI205" s="104">
        <f t="shared" si="303"/>
        <v>0</v>
      </c>
      <c r="AJ205" s="104"/>
      <c r="AK205" s="104"/>
      <c r="AL205" s="104">
        <v>276458</v>
      </c>
      <c r="AM205" s="104">
        <v>1</v>
      </c>
      <c r="AN205" s="104">
        <f t="shared" si="235"/>
        <v>0</v>
      </c>
      <c r="AO205" s="104"/>
      <c r="AP205" s="113">
        <f t="shared" si="304"/>
        <v>0</v>
      </c>
      <c r="AQ205" s="113"/>
      <c r="AR205" s="34">
        <f t="shared" si="263"/>
        <v>276458</v>
      </c>
      <c r="AS205" s="10">
        <f t="shared" si="263"/>
        <v>1</v>
      </c>
      <c r="AT205" s="10"/>
      <c r="AU205" s="10">
        <f t="shared" si="274"/>
        <v>0</v>
      </c>
      <c r="AV205" s="10">
        <v>276458</v>
      </c>
      <c r="AW205" s="10">
        <f t="shared" si="275"/>
        <v>1</v>
      </c>
      <c r="AX205" s="10">
        <f>AR205/0.9*0.1</f>
        <v>30717.555555555558</v>
      </c>
      <c r="AY205" s="10">
        <v>1</v>
      </c>
      <c r="AZ205" s="10"/>
      <c r="BA205" s="10">
        <v>0</v>
      </c>
      <c r="BB205" s="10">
        <v>0</v>
      </c>
      <c r="BC205" s="10">
        <f t="shared" si="236"/>
        <v>0</v>
      </c>
      <c r="BD205" s="10"/>
      <c r="BE205" s="26">
        <f t="shared" si="309"/>
        <v>0</v>
      </c>
      <c r="BF205" s="104">
        <f t="shared" si="309"/>
        <v>0</v>
      </c>
      <c r="BG205" s="104"/>
      <c r="BH205" s="104">
        <f t="shared" si="265"/>
        <v>0</v>
      </c>
      <c r="BI205" s="104"/>
      <c r="BJ205" s="104">
        <f t="shared" si="266"/>
        <v>0</v>
      </c>
      <c r="BK205" s="104"/>
      <c r="BL205" s="104"/>
      <c r="BM205" s="104"/>
      <c r="BN205" s="104" t="s">
        <v>377</v>
      </c>
      <c r="BO205" s="104" t="s">
        <v>1645</v>
      </c>
      <c r="BP205" s="104" t="s">
        <v>382</v>
      </c>
      <c r="BQ205" s="104" t="s">
        <v>379</v>
      </c>
      <c r="BR205" s="104" t="s">
        <v>380</v>
      </c>
      <c r="BS205" s="104" t="s">
        <v>381</v>
      </c>
      <c r="BT205" s="55" t="s">
        <v>994</v>
      </c>
    </row>
    <row r="206" spans="1:72" s="3" customFormat="1" ht="40.5" customHeight="1" outlineLevel="1" x14ac:dyDescent="0.25">
      <c r="A206" s="106"/>
      <c r="B206" s="59">
        <v>16</v>
      </c>
      <c r="C206" s="104" t="s">
        <v>197</v>
      </c>
      <c r="D206" s="104" t="s">
        <v>1164</v>
      </c>
      <c r="E206" s="104">
        <v>2015</v>
      </c>
      <c r="F206" s="104">
        <v>349826</v>
      </c>
      <c r="G206" s="104">
        <v>340325.9</v>
      </c>
      <c r="H206" s="104"/>
      <c r="I206" s="104"/>
      <c r="J206" s="104"/>
      <c r="K206" s="104"/>
      <c r="L206" s="104"/>
      <c r="M206" s="104">
        <v>0</v>
      </c>
      <c r="N206" s="104">
        <f t="shared" si="302"/>
        <v>0</v>
      </c>
      <c r="O206" s="104">
        <v>153000</v>
      </c>
      <c r="P206" s="104">
        <v>1</v>
      </c>
      <c r="Q206" s="26">
        <v>306293</v>
      </c>
      <c r="R206" s="104">
        <v>1</v>
      </c>
      <c r="S206" s="104">
        <f t="shared" si="256"/>
        <v>306293</v>
      </c>
      <c r="T206" s="104"/>
      <c r="U206" s="26">
        <f t="shared" si="306"/>
        <v>195351</v>
      </c>
      <c r="V206" s="113">
        <f t="shared" si="306"/>
        <v>1</v>
      </c>
      <c r="W206" s="113"/>
      <c r="X206" s="113">
        <f t="shared" si="307"/>
        <v>0</v>
      </c>
      <c r="Y206" s="113">
        <f>206293-10942</f>
        <v>195351</v>
      </c>
      <c r="Z206" s="113">
        <f t="shared" si="308"/>
        <v>1</v>
      </c>
      <c r="AA206" s="118">
        <v>-195351</v>
      </c>
      <c r="AB206" s="122"/>
      <c r="AC206" s="26">
        <f t="shared" si="260"/>
        <v>0</v>
      </c>
      <c r="AD206" s="104">
        <f t="shared" si="260"/>
        <v>0</v>
      </c>
      <c r="AE206" s="104"/>
      <c r="AF206" s="104">
        <f t="shared" si="300"/>
        <v>0</v>
      </c>
      <c r="AG206" s="104"/>
      <c r="AH206" s="104">
        <f t="shared" si="301"/>
        <v>0</v>
      </c>
      <c r="AI206" s="104">
        <f t="shared" si="303"/>
        <v>0</v>
      </c>
      <c r="AJ206" s="104"/>
      <c r="AK206" s="104">
        <v>1</v>
      </c>
      <c r="AL206" s="104">
        <v>0</v>
      </c>
      <c r="AM206" s="104">
        <v>0</v>
      </c>
      <c r="AN206" s="104">
        <f t="shared" si="235"/>
        <v>-216293</v>
      </c>
      <c r="AO206" s="104"/>
      <c r="AP206" s="113">
        <f t="shared" si="304"/>
        <v>195351</v>
      </c>
      <c r="AQ206" s="113"/>
      <c r="AR206" s="34">
        <f t="shared" si="263"/>
        <v>216293</v>
      </c>
      <c r="AS206" s="10">
        <f t="shared" si="263"/>
        <v>1</v>
      </c>
      <c r="AT206" s="10">
        <f>110942+105351</f>
        <v>216293</v>
      </c>
      <c r="AU206" s="10">
        <f t="shared" si="274"/>
        <v>1</v>
      </c>
      <c r="AV206" s="10"/>
      <c r="AW206" s="10">
        <f t="shared" si="275"/>
        <v>0</v>
      </c>
      <c r="AX206" s="10">
        <f>AR206/0.9*0.1</f>
        <v>24032.555555555558</v>
      </c>
      <c r="AY206" s="10">
        <v>1</v>
      </c>
      <c r="AZ206" s="10"/>
      <c r="BA206" s="10">
        <v>0</v>
      </c>
      <c r="BB206" s="10">
        <v>0</v>
      </c>
      <c r="BC206" s="10">
        <f t="shared" si="236"/>
        <v>0</v>
      </c>
      <c r="BD206" s="10"/>
      <c r="BE206" s="26">
        <f t="shared" si="309"/>
        <v>0</v>
      </c>
      <c r="BF206" s="104">
        <f t="shared" si="309"/>
        <v>0</v>
      </c>
      <c r="BG206" s="104"/>
      <c r="BH206" s="104">
        <f t="shared" si="265"/>
        <v>0</v>
      </c>
      <c r="BI206" s="104"/>
      <c r="BJ206" s="104">
        <f t="shared" si="266"/>
        <v>0</v>
      </c>
      <c r="BK206" s="104"/>
      <c r="BL206" s="104"/>
      <c r="BM206" s="104"/>
      <c r="BN206" s="104" t="s">
        <v>383</v>
      </c>
      <c r="BO206" s="104" t="s">
        <v>1645</v>
      </c>
      <c r="BP206" s="104" t="s">
        <v>386</v>
      </c>
      <c r="BQ206" s="104" t="s">
        <v>384</v>
      </c>
      <c r="BR206" s="104" t="s">
        <v>385</v>
      </c>
      <c r="BS206" s="104" t="s">
        <v>387</v>
      </c>
      <c r="BT206" s="55" t="s">
        <v>388</v>
      </c>
    </row>
    <row r="207" spans="1:72" ht="11.25" outlineLevel="1" x14ac:dyDescent="0.25">
      <c r="A207" s="106"/>
      <c r="B207" s="59">
        <v>1</v>
      </c>
      <c r="C207" s="104" t="s">
        <v>8</v>
      </c>
      <c r="D207" s="104"/>
      <c r="E207" s="104"/>
      <c r="F207" s="104">
        <f>F208</f>
        <v>1569734</v>
      </c>
      <c r="G207" s="104">
        <f t="shared" ref="G207:BM207" si="310">G208</f>
        <v>1560532</v>
      </c>
      <c r="H207" s="104">
        <f t="shared" si="310"/>
        <v>1551334</v>
      </c>
      <c r="I207" s="104">
        <f t="shared" si="310"/>
        <v>9198</v>
      </c>
      <c r="J207" s="104">
        <f t="shared" si="310"/>
        <v>1</v>
      </c>
      <c r="K207" s="104">
        <f t="shared" si="310"/>
        <v>0</v>
      </c>
      <c r="L207" s="104">
        <f t="shared" si="310"/>
        <v>0</v>
      </c>
      <c r="M207" s="104">
        <f t="shared" si="310"/>
        <v>500000</v>
      </c>
      <c r="N207" s="104">
        <f t="shared" si="310"/>
        <v>495777.77777777775</v>
      </c>
      <c r="O207" s="104">
        <f t="shared" si="310"/>
        <v>954479</v>
      </c>
      <c r="P207" s="104">
        <f t="shared" si="310"/>
        <v>1</v>
      </c>
      <c r="Q207" s="104">
        <f t="shared" si="310"/>
        <v>854479</v>
      </c>
      <c r="R207" s="104">
        <f t="shared" si="310"/>
        <v>1</v>
      </c>
      <c r="S207" s="104">
        <f t="shared" si="310"/>
        <v>408279</v>
      </c>
      <c r="T207" s="104">
        <f t="shared" si="310"/>
        <v>0</v>
      </c>
      <c r="U207" s="26">
        <f>U208</f>
        <v>446200</v>
      </c>
      <c r="V207" s="113">
        <f t="shared" ref="V207:AB207" si="311">V208</f>
        <v>1</v>
      </c>
      <c r="W207" s="118">
        <f t="shared" si="311"/>
        <v>446200</v>
      </c>
      <c r="X207" s="118">
        <f t="shared" si="311"/>
        <v>1</v>
      </c>
      <c r="Y207" s="118">
        <f t="shared" si="311"/>
        <v>0</v>
      </c>
      <c r="Z207" s="118">
        <f t="shared" si="311"/>
        <v>0</v>
      </c>
      <c r="AA207" s="122">
        <f t="shared" si="311"/>
        <v>0</v>
      </c>
      <c r="AB207" s="122">
        <f t="shared" si="311"/>
        <v>0</v>
      </c>
      <c r="AC207" s="26">
        <f t="shared" si="260"/>
        <v>446200</v>
      </c>
      <c r="AD207" s="104">
        <f t="shared" si="310"/>
        <v>1</v>
      </c>
      <c r="AE207" s="104">
        <f t="shared" si="310"/>
        <v>446200</v>
      </c>
      <c r="AF207" s="104">
        <f t="shared" si="310"/>
        <v>1</v>
      </c>
      <c r="AG207" s="104">
        <f t="shared" si="310"/>
        <v>0</v>
      </c>
      <c r="AH207" s="104">
        <f t="shared" si="310"/>
        <v>0</v>
      </c>
      <c r="AI207" s="104">
        <f t="shared" si="310"/>
        <v>49577.777777777781</v>
      </c>
      <c r="AJ207" s="104">
        <f t="shared" si="310"/>
        <v>0</v>
      </c>
      <c r="AK207" s="104">
        <f t="shared" si="310"/>
        <v>1</v>
      </c>
      <c r="AL207" s="104">
        <f t="shared" si="310"/>
        <v>100000</v>
      </c>
      <c r="AM207" s="104">
        <f t="shared" si="310"/>
        <v>1</v>
      </c>
      <c r="AN207" s="104">
        <f t="shared" si="310"/>
        <v>-690000</v>
      </c>
      <c r="AO207" s="104">
        <f t="shared" si="310"/>
        <v>0</v>
      </c>
      <c r="AP207" s="113">
        <f t="shared" si="304"/>
        <v>0</v>
      </c>
      <c r="AQ207" s="113"/>
      <c r="AR207" s="104">
        <f t="shared" si="310"/>
        <v>790000</v>
      </c>
      <c r="AS207" s="104">
        <f t="shared" si="310"/>
        <v>1</v>
      </c>
      <c r="AT207" s="104">
        <f t="shared" si="310"/>
        <v>790000</v>
      </c>
      <c r="AU207" s="104">
        <f t="shared" si="310"/>
        <v>1</v>
      </c>
      <c r="AV207" s="104">
        <f t="shared" si="310"/>
        <v>0</v>
      </c>
      <c r="AW207" s="104">
        <f t="shared" si="310"/>
        <v>0</v>
      </c>
      <c r="AX207" s="104">
        <f t="shared" si="310"/>
        <v>87777.777777777781</v>
      </c>
      <c r="AY207" s="104">
        <f t="shared" si="310"/>
        <v>1</v>
      </c>
      <c r="AZ207" s="104">
        <f t="shared" si="310"/>
        <v>0</v>
      </c>
      <c r="BA207" s="104">
        <f t="shared" si="310"/>
        <v>0</v>
      </c>
      <c r="BB207" s="104">
        <f t="shared" si="310"/>
        <v>0</v>
      </c>
      <c r="BC207" s="104">
        <f t="shared" si="310"/>
        <v>0</v>
      </c>
      <c r="BD207" s="104">
        <f t="shared" si="310"/>
        <v>0</v>
      </c>
      <c r="BE207" s="104">
        <f t="shared" si="310"/>
        <v>0</v>
      </c>
      <c r="BF207" s="104">
        <f t="shared" si="310"/>
        <v>0</v>
      </c>
      <c r="BG207" s="104">
        <f t="shared" si="310"/>
        <v>0</v>
      </c>
      <c r="BH207" s="104">
        <f t="shared" si="310"/>
        <v>0</v>
      </c>
      <c r="BI207" s="104">
        <f t="shared" si="310"/>
        <v>0</v>
      </c>
      <c r="BJ207" s="104">
        <f t="shared" si="310"/>
        <v>0</v>
      </c>
      <c r="BK207" s="104">
        <f t="shared" si="310"/>
        <v>0</v>
      </c>
      <c r="BL207" s="104">
        <f t="shared" si="310"/>
        <v>0</v>
      </c>
      <c r="BM207" s="104">
        <f t="shared" si="310"/>
        <v>0</v>
      </c>
      <c r="BN207" s="104"/>
      <c r="BO207" s="104"/>
      <c r="BP207" s="104"/>
      <c r="BQ207" s="104"/>
      <c r="BR207" s="104"/>
      <c r="BS207" s="104"/>
      <c r="BT207" s="55"/>
    </row>
    <row r="208" spans="1:72" ht="52.5" customHeight="1" outlineLevel="1" x14ac:dyDescent="0.25">
      <c r="A208" s="106"/>
      <c r="B208" s="59">
        <v>1</v>
      </c>
      <c r="C208" s="104" t="s">
        <v>1298</v>
      </c>
      <c r="D208" s="104" t="s">
        <v>1165</v>
      </c>
      <c r="E208" s="104" t="s">
        <v>9</v>
      </c>
      <c r="F208" s="104">
        <v>1569734</v>
      </c>
      <c r="G208" s="104">
        <v>1560532</v>
      </c>
      <c r="H208" s="104">
        <v>1551334</v>
      </c>
      <c r="I208" s="104">
        <f t="shared" ref="I208" si="312">G208-H208</f>
        <v>9198</v>
      </c>
      <c r="J208" s="104">
        <v>1</v>
      </c>
      <c r="K208" s="104"/>
      <c r="L208" s="104"/>
      <c r="M208" s="104">
        <v>500000</v>
      </c>
      <c r="N208" s="104">
        <f>AC208+AI208</f>
        <v>495777.77777777775</v>
      </c>
      <c r="O208" s="104">
        <v>954479</v>
      </c>
      <c r="P208" s="104">
        <v>1</v>
      </c>
      <c r="Q208" s="26">
        <v>854479</v>
      </c>
      <c r="R208" s="104">
        <v>1</v>
      </c>
      <c r="S208" s="104">
        <f t="shared" si="256"/>
        <v>408279</v>
      </c>
      <c r="T208" s="104"/>
      <c r="U208" s="26">
        <f t="shared" ref="U208:V208" si="313">W208+Y208</f>
        <v>446200</v>
      </c>
      <c r="V208" s="113">
        <f t="shared" si="313"/>
        <v>1</v>
      </c>
      <c r="W208" s="113">
        <v>446200</v>
      </c>
      <c r="X208" s="113">
        <f t="shared" ref="X208" si="314">IF(W208,1,0)</f>
        <v>1</v>
      </c>
      <c r="Y208" s="113"/>
      <c r="Z208" s="113">
        <f t="shared" ref="Z208" si="315">IF(Y208,1,0)</f>
        <v>0</v>
      </c>
      <c r="AA208" s="118">
        <v>0</v>
      </c>
      <c r="AB208" s="122"/>
      <c r="AC208" s="26">
        <f t="shared" si="260"/>
        <v>446200</v>
      </c>
      <c r="AD208" s="104">
        <f t="shared" si="260"/>
        <v>1</v>
      </c>
      <c r="AE208" s="104">
        <f>446200</f>
        <v>446200</v>
      </c>
      <c r="AF208" s="104">
        <f t="shared" ref="AF208" si="316">IF(AE208,1,0)</f>
        <v>1</v>
      </c>
      <c r="AG208" s="104"/>
      <c r="AH208" s="104">
        <f t="shared" ref="AH208" si="317">IF(AG208,1,0)</f>
        <v>0</v>
      </c>
      <c r="AI208" s="104">
        <f>AC208/0.9*0.1</f>
        <v>49577.777777777781</v>
      </c>
      <c r="AJ208" s="104"/>
      <c r="AK208" s="104">
        <v>1</v>
      </c>
      <c r="AL208" s="104">
        <v>100000</v>
      </c>
      <c r="AM208" s="104">
        <v>1</v>
      </c>
      <c r="AN208" s="104">
        <f t="shared" si="235"/>
        <v>-690000</v>
      </c>
      <c r="AO208" s="104"/>
      <c r="AP208" s="113">
        <f t="shared" si="304"/>
        <v>0</v>
      </c>
      <c r="AQ208" s="113"/>
      <c r="AR208" s="34">
        <f t="shared" si="263"/>
        <v>790000</v>
      </c>
      <c r="AS208" s="10">
        <f t="shared" si="263"/>
        <v>1</v>
      </c>
      <c r="AT208" s="10">
        <f>500000+290000</f>
        <v>790000</v>
      </c>
      <c r="AU208" s="10">
        <f t="shared" si="274"/>
        <v>1</v>
      </c>
      <c r="AV208" s="10">
        <v>0</v>
      </c>
      <c r="AW208" s="10">
        <v>0</v>
      </c>
      <c r="AX208" s="10">
        <f t="shared" ref="AX208" si="318">AR208/0.9*0.1</f>
        <v>87777.777777777781</v>
      </c>
      <c r="AY208" s="10">
        <v>1</v>
      </c>
      <c r="AZ208" s="10"/>
      <c r="BA208" s="10">
        <v>0</v>
      </c>
      <c r="BB208" s="10">
        <v>0</v>
      </c>
      <c r="BC208" s="10">
        <f t="shared" si="236"/>
        <v>0</v>
      </c>
      <c r="BD208" s="10"/>
      <c r="BE208" s="26">
        <f t="shared" si="309"/>
        <v>0</v>
      </c>
      <c r="BF208" s="104">
        <f t="shared" si="309"/>
        <v>0</v>
      </c>
      <c r="BG208" s="104"/>
      <c r="BH208" s="104">
        <f t="shared" si="265"/>
        <v>0</v>
      </c>
      <c r="BI208" s="104"/>
      <c r="BJ208" s="104">
        <f t="shared" si="266"/>
        <v>0</v>
      </c>
      <c r="BK208" s="104"/>
      <c r="BL208" s="104"/>
      <c r="BM208" s="104"/>
      <c r="BN208" s="104" t="s">
        <v>389</v>
      </c>
      <c r="BO208" s="104" t="s">
        <v>1628</v>
      </c>
      <c r="BP208" s="104" t="s">
        <v>390</v>
      </c>
      <c r="BQ208" s="104" t="s">
        <v>391</v>
      </c>
      <c r="BR208" s="104" t="s">
        <v>392</v>
      </c>
      <c r="BS208" s="104" t="s">
        <v>11</v>
      </c>
      <c r="BT208" s="55" t="s">
        <v>995</v>
      </c>
    </row>
    <row r="209" spans="1:77" s="35" customFormat="1" ht="11.25" x14ac:dyDescent="0.25">
      <c r="A209" s="48"/>
      <c r="B209" s="60">
        <v>18</v>
      </c>
      <c r="C209" s="26" t="s">
        <v>539</v>
      </c>
      <c r="D209" s="26"/>
      <c r="E209" s="26"/>
      <c r="F209" s="12">
        <f>F210</f>
        <v>9286606.4570000004</v>
      </c>
      <c r="G209" s="12">
        <f t="shared" ref="G209:BM209" si="319">G210</f>
        <v>9011884.5719999988</v>
      </c>
      <c r="H209" s="12">
        <f t="shared" si="319"/>
        <v>0</v>
      </c>
      <c r="I209" s="12">
        <f t="shared" si="319"/>
        <v>0</v>
      </c>
      <c r="J209" s="12">
        <f t="shared" si="319"/>
        <v>0</v>
      </c>
      <c r="K209" s="12">
        <f t="shared" si="319"/>
        <v>0</v>
      </c>
      <c r="L209" s="12">
        <f t="shared" si="319"/>
        <v>0</v>
      </c>
      <c r="M209" s="12">
        <f t="shared" si="319"/>
        <v>3099694</v>
      </c>
      <c r="N209" s="12">
        <f t="shared" si="319"/>
        <v>2665708.888888889</v>
      </c>
      <c r="O209" s="12">
        <f t="shared" si="319"/>
        <v>4428800</v>
      </c>
      <c r="P209" s="12">
        <f t="shared" si="319"/>
        <v>21</v>
      </c>
      <c r="Q209" s="12">
        <f t="shared" si="319"/>
        <v>3841324</v>
      </c>
      <c r="R209" s="12">
        <f t="shared" si="319"/>
        <v>18</v>
      </c>
      <c r="S209" s="12">
        <f t="shared" si="319"/>
        <v>1455200</v>
      </c>
      <c r="T209" s="12">
        <f t="shared" si="319"/>
        <v>0</v>
      </c>
      <c r="U209" s="12">
        <f t="shared" si="319"/>
        <v>3548093</v>
      </c>
      <c r="V209" s="12">
        <f t="shared" si="319"/>
        <v>18</v>
      </c>
      <c r="W209" s="12">
        <f t="shared" si="319"/>
        <v>2386124</v>
      </c>
      <c r="X209" s="12">
        <f t="shared" si="319"/>
        <v>10</v>
      </c>
      <c r="Y209" s="12">
        <f t="shared" si="319"/>
        <v>1161969</v>
      </c>
      <c r="Z209" s="12">
        <f t="shared" si="319"/>
        <v>8</v>
      </c>
      <c r="AA209" s="12">
        <f t="shared" si="319"/>
        <v>-1161969</v>
      </c>
      <c r="AB209" s="12">
        <f t="shared" si="319"/>
        <v>13014</v>
      </c>
      <c r="AC209" s="12">
        <f t="shared" si="319"/>
        <v>2399138</v>
      </c>
      <c r="AD209" s="12">
        <f t="shared" si="319"/>
        <v>13</v>
      </c>
      <c r="AE209" s="12">
        <f t="shared" si="319"/>
        <v>2399138</v>
      </c>
      <c r="AF209" s="12">
        <f t="shared" si="319"/>
        <v>13</v>
      </c>
      <c r="AG209" s="12">
        <f t="shared" si="319"/>
        <v>0</v>
      </c>
      <c r="AH209" s="12">
        <f t="shared" si="319"/>
        <v>0</v>
      </c>
      <c r="AI209" s="12">
        <f t="shared" si="319"/>
        <v>266570.88888888893</v>
      </c>
      <c r="AJ209" s="68">
        <f t="shared" si="319"/>
        <v>17</v>
      </c>
      <c r="AK209" s="68">
        <f t="shared" si="319"/>
        <v>1</v>
      </c>
      <c r="AL209" s="68">
        <f t="shared" si="319"/>
        <v>1466634</v>
      </c>
      <c r="AM209" s="68">
        <f t="shared" si="319"/>
        <v>1</v>
      </c>
      <c r="AN209" s="68">
        <f t="shared" si="319"/>
        <v>291651</v>
      </c>
      <c r="AO209" s="68">
        <f t="shared" si="319"/>
        <v>0</v>
      </c>
      <c r="AP209" s="68">
        <f t="shared" si="319"/>
        <v>1148955</v>
      </c>
      <c r="AQ209" s="68">
        <f t="shared" si="319"/>
        <v>0</v>
      </c>
      <c r="AR209" s="12">
        <f t="shared" si="319"/>
        <v>1174983</v>
      </c>
      <c r="AS209" s="68">
        <f t="shared" si="319"/>
        <v>9</v>
      </c>
      <c r="AT209" s="12">
        <f t="shared" si="319"/>
        <v>13014</v>
      </c>
      <c r="AU209" s="12">
        <f t="shared" si="319"/>
        <v>1</v>
      </c>
      <c r="AV209" s="12">
        <f t="shared" si="319"/>
        <v>1161969</v>
      </c>
      <c r="AW209" s="12">
        <f t="shared" si="319"/>
        <v>8</v>
      </c>
      <c r="AX209" s="12">
        <f t="shared" si="319"/>
        <v>130553.66666666669</v>
      </c>
      <c r="AY209" s="12">
        <f t="shared" si="319"/>
        <v>1</v>
      </c>
      <c r="AZ209" s="12">
        <f t="shared" si="319"/>
        <v>0</v>
      </c>
      <c r="BA209" s="12">
        <f t="shared" si="319"/>
        <v>4053150</v>
      </c>
      <c r="BB209" s="12">
        <f t="shared" si="319"/>
        <v>13</v>
      </c>
      <c r="BC209" s="12">
        <f t="shared" si="319"/>
        <v>2586516</v>
      </c>
      <c r="BD209" s="12">
        <f t="shared" si="319"/>
        <v>0</v>
      </c>
      <c r="BE209" s="12">
        <f t="shared" si="319"/>
        <v>1466634</v>
      </c>
      <c r="BF209" s="68">
        <f t="shared" si="319"/>
        <v>1</v>
      </c>
      <c r="BG209" s="12">
        <f t="shared" si="319"/>
        <v>1466634</v>
      </c>
      <c r="BH209" s="12">
        <f t="shared" si="319"/>
        <v>1</v>
      </c>
      <c r="BI209" s="12">
        <f t="shared" si="319"/>
        <v>0</v>
      </c>
      <c r="BJ209" s="12">
        <f t="shared" si="319"/>
        <v>0</v>
      </c>
      <c r="BK209" s="12">
        <f t="shared" si="319"/>
        <v>162959.33333333334</v>
      </c>
      <c r="BL209" s="12">
        <f t="shared" si="319"/>
        <v>0</v>
      </c>
      <c r="BM209" s="12">
        <f t="shared" si="319"/>
        <v>0</v>
      </c>
      <c r="BN209" s="26"/>
      <c r="BO209" s="26"/>
      <c r="BP209" s="26"/>
      <c r="BQ209" s="26"/>
      <c r="BR209" s="26"/>
      <c r="BS209" s="26"/>
      <c r="BT209" s="58"/>
      <c r="BU209" s="25"/>
      <c r="BV209" s="25"/>
      <c r="BW209" s="25"/>
      <c r="BX209" s="25"/>
      <c r="BY209" s="25"/>
    </row>
    <row r="210" spans="1:77" ht="11.25" outlineLevel="1" x14ac:dyDescent="0.25">
      <c r="A210" s="106"/>
      <c r="B210" s="107">
        <v>18</v>
      </c>
      <c r="C210" s="104" t="s">
        <v>198</v>
      </c>
      <c r="D210" s="104"/>
      <c r="E210" s="104"/>
      <c r="F210" s="13">
        <f>SUM(F211:F231)</f>
        <v>9286606.4570000004</v>
      </c>
      <c r="G210" s="16">
        <f>SUM(G211:G231)</f>
        <v>9011884.5719999988</v>
      </c>
      <c r="H210" s="16"/>
      <c r="I210" s="16"/>
      <c r="J210" s="16"/>
      <c r="K210" s="16"/>
      <c r="L210" s="16"/>
      <c r="M210" s="16">
        <f>SUM(M211:M231)</f>
        <v>3099694</v>
      </c>
      <c r="N210" s="16">
        <f>SUM(N211:N231)</f>
        <v>2665708.888888889</v>
      </c>
      <c r="O210" s="16">
        <v>4428800</v>
      </c>
      <c r="P210" s="16">
        <v>21</v>
      </c>
      <c r="Q210" s="17">
        <v>3841324</v>
      </c>
      <c r="R210" s="16">
        <v>18</v>
      </c>
      <c r="S210" s="17">
        <f t="shared" ref="S210:AI210" si="320">SUM(S211:S231)</f>
        <v>1455200</v>
      </c>
      <c r="T210" s="17">
        <f t="shared" si="320"/>
        <v>0</v>
      </c>
      <c r="U210" s="12">
        <f t="shared" ref="U210:V210" si="321">SUM(U211:U231)</f>
        <v>3548093</v>
      </c>
      <c r="V210" s="68">
        <f t="shared" si="321"/>
        <v>18</v>
      </c>
      <c r="W210" s="68">
        <f t="shared" ref="W210:Z210" si="322">SUM(W211:W231)</f>
        <v>2386124</v>
      </c>
      <c r="X210" s="68">
        <f t="shared" si="322"/>
        <v>10</v>
      </c>
      <c r="Y210" s="68">
        <f t="shared" si="322"/>
        <v>1161969</v>
      </c>
      <c r="Z210" s="68">
        <f t="shared" si="322"/>
        <v>8</v>
      </c>
      <c r="AA210" s="68">
        <f t="shared" ref="AA210:AB210" si="323">SUM(AA211:AA231)</f>
        <v>-1161969</v>
      </c>
      <c r="AB210" s="68">
        <f t="shared" si="323"/>
        <v>13014</v>
      </c>
      <c r="AC210" s="12">
        <f t="shared" si="320"/>
        <v>2399138</v>
      </c>
      <c r="AD210" s="13">
        <f t="shared" si="320"/>
        <v>13</v>
      </c>
      <c r="AE210" s="13">
        <f t="shared" si="320"/>
        <v>2399138</v>
      </c>
      <c r="AF210" s="13">
        <f t="shared" si="320"/>
        <v>13</v>
      </c>
      <c r="AG210" s="13">
        <f t="shared" si="320"/>
        <v>0</v>
      </c>
      <c r="AH210" s="13">
        <f t="shared" si="320"/>
        <v>0</v>
      </c>
      <c r="AI210" s="13">
        <f t="shared" si="320"/>
        <v>266570.88888888893</v>
      </c>
      <c r="AJ210" s="13">
        <f t="shared" ref="AJ210:AQ210" si="324">SUM(AJ211:AJ231)</f>
        <v>17</v>
      </c>
      <c r="AK210" s="13">
        <f t="shared" si="324"/>
        <v>1</v>
      </c>
      <c r="AL210" s="13">
        <f t="shared" si="324"/>
        <v>1466634</v>
      </c>
      <c r="AM210" s="13">
        <f t="shared" si="324"/>
        <v>1</v>
      </c>
      <c r="AN210" s="13">
        <f t="shared" si="324"/>
        <v>291651</v>
      </c>
      <c r="AO210" s="13">
        <f t="shared" si="324"/>
        <v>0</v>
      </c>
      <c r="AP210" s="13">
        <f t="shared" si="324"/>
        <v>1148955</v>
      </c>
      <c r="AQ210" s="13">
        <f t="shared" si="324"/>
        <v>0</v>
      </c>
      <c r="AR210" s="12">
        <f t="shared" ref="AR210:AZ210" si="325">SUM(AR211:AR231)</f>
        <v>1174983</v>
      </c>
      <c r="AS210" s="13">
        <f t="shared" si="325"/>
        <v>9</v>
      </c>
      <c r="AT210" s="13">
        <f t="shared" si="325"/>
        <v>13014</v>
      </c>
      <c r="AU210" s="13">
        <f t="shared" si="325"/>
        <v>1</v>
      </c>
      <c r="AV210" s="13">
        <f t="shared" si="325"/>
        <v>1161969</v>
      </c>
      <c r="AW210" s="13">
        <f t="shared" si="325"/>
        <v>8</v>
      </c>
      <c r="AX210" s="13">
        <f t="shared" si="325"/>
        <v>130553.66666666669</v>
      </c>
      <c r="AY210" s="13">
        <f t="shared" si="325"/>
        <v>1</v>
      </c>
      <c r="AZ210" s="13">
        <f t="shared" si="325"/>
        <v>0</v>
      </c>
      <c r="BA210" s="13">
        <v>4053150</v>
      </c>
      <c r="BB210" s="13">
        <v>13</v>
      </c>
      <c r="BC210" s="10">
        <f t="shared" si="236"/>
        <v>2586516</v>
      </c>
      <c r="BD210" s="13"/>
      <c r="BE210" s="12">
        <f t="shared" ref="BE210:BT210" si="326">SUM(BE211:BE231)</f>
        <v>1466634</v>
      </c>
      <c r="BF210" s="13">
        <f t="shared" si="326"/>
        <v>1</v>
      </c>
      <c r="BG210" s="16">
        <f t="shared" si="326"/>
        <v>1466634</v>
      </c>
      <c r="BH210" s="16">
        <f t="shared" si="326"/>
        <v>1</v>
      </c>
      <c r="BI210" s="16">
        <f t="shared" si="326"/>
        <v>0</v>
      </c>
      <c r="BJ210" s="16">
        <f t="shared" si="326"/>
        <v>0</v>
      </c>
      <c r="BK210" s="16">
        <f t="shared" si="326"/>
        <v>162959.33333333334</v>
      </c>
      <c r="BL210" s="16">
        <f t="shared" si="326"/>
        <v>0</v>
      </c>
      <c r="BM210" s="16">
        <f t="shared" si="326"/>
        <v>0</v>
      </c>
      <c r="BN210" s="16">
        <f t="shared" si="326"/>
        <v>0</v>
      </c>
      <c r="BO210" s="16">
        <f t="shared" si="326"/>
        <v>0</v>
      </c>
      <c r="BP210" s="16">
        <f t="shared" si="326"/>
        <v>0</v>
      </c>
      <c r="BQ210" s="16">
        <f t="shared" si="326"/>
        <v>0</v>
      </c>
      <c r="BR210" s="16">
        <f t="shared" si="326"/>
        <v>0</v>
      </c>
      <c r="BS210" s="16">
        <f t="shared" si="326"/>
        <v>0</v>
      </c>
      <c r="BT210" s="62">
        <f t="shared" si="326"/>
        <v>0</v>
      </c>
    </row>
    <row r="211" spans="1:77" ht="41.25" customHeight="1" outlineLevel="1" x14ac:dyDescent="0.25">
      <c r="A211" s="106"/>
      <c r="B211" s="59">
        <v>1</v>
      </c>
      <c r="C211" s="104" t="s">
        <v>1192</v>
      </c>
      <c r="D211" s="104" t="s">
        <v>1480</v>
      </c>
      <c r="E211" s="104" t="s">
        <v>9</v>
      </c>
      <c r="F211" s="104">
        <v>393441</v>
      </c>
      <c r="G211" s="104">
        <v>378040</v>
      </c>
      <c r="H211" s="104">
        <v>357028</v>
      </c>
      <c r="I211" s="104">
        <f t="shared" ref="I211:I220" si="327">G211-H211</f>
        <v>21012</v>
      </c>
      <c r="J211" s="104">
        <v>1</v>
      </c>
      <c r="K211" s="104">
        <v>1</v>
      </c>
      <c r="L211" s="104"/>
      <c r="M211" s="13">
        <v>166667</v>
      </c>
      <c r="N211" s="104">
        <f>AC211+AI211</f>
        <v>190360</v>
      </c>
      <c r="O211" s="104">
        <v>190236</v>
      </c>
      <c r="P211" s="104">
        <v>1</v>
      </c>
      <c r="Q211" s="26">
        <v>190236</v>
      </c>
      <c r="R211" s="104">
        <v>1</v>
      </c>
      <c r="S211" s="104">
        <f t="shared" si="256"/>
        <v>18912</v>
      </c>
      <c r="T211" s="104"/>
      <c r="U211" s="26">
        <f t="shared" ref="U211:V220" si="328">W211+Y211</f>
        <v>171324</v>
      </c>
      <c r="V211" s="113">
        <f t="shared" si="328"/>
        <v>1</v>
      </c>
      <c r="W211" s="13">
        <v>171324</v>
      </c>
      <c r="X211" s="113">
        <f t="shared" ref="X211:X220" si="329">IF(W211,1,0)</f>
        <v>1</v>
      </c>
      <c r="Y211" s="13"/>
      <c r="Z211" s="113">
        <f t="shared" ref="Z211:Z218" si="330">IF(Y211,1,0)</f>
        <v>0</v>
      </c>
      <c r="AA211" s="118">
        <v>0</v>
      </c>
      <c r="AB211" s="122"/>
      <c r="AC211" s="26">
        <f t="shared" si="260"/>
        <v>171324</v>
      </c>
      <c r="AD211" s="104">
        <f t="shared" si="260"/>
        <v>1</v>
      </c>
      <c r="AE211" s="13">
        <v>171324</v>
      </c>
      <c r="AF211" s="104">
        <f t="shared" ref="AF211:AF231" si="331">IF(AE211,1,0)</f>
        <v>1</v>
      </c>
      <c r="AG211" s="13"/>
      <c r="AH211" s="104">
        <f t="shared" ref="AH211:AH231" si="332">IF(AG211,1,0)</f>
        <v>0</v>
      </c>
      <c r="AI211" s="13">
        <f>AC211/0.9*0.1</f>
        <v>19036</v>
      </c>
      <c r="AJ211" s="13">
        <v>1</v>
      </c>
      <c r="AK211" s="13"/>
      <c r="AL211" s="13">
        <v>0</v>
      </c>
      <c r="AM211" s="13">
        <v>0</v>
      </c>
      <c r="AN211" s="104">
        <f t="shared" si="235"/>
        <v>0</v>
      </c>
      <c r="AO211" s="13"/>
      <c r="AP211" s="13">
        <f>U211-AC211</f>
        <v>0</v>
      </c>
      <c r="AQ211" s="13"/>
      <c r="AR211" s="34">
        <f t="shared" si="263"/>
        <v>0</v>
      </c>
      <c r="AS211" s="18">
        <v>0</v>
      </c>
      <c r="AT211" s="18">
        <v>0</v>
      </c>
      <c r="AU211" s="18">
        <v>0</v>
      </c>
      <c r="AV211" s="18"/>
      <c r="AW211" s="18"/>
      <c r="AX211" s="18"/>
      <c r="AY211" s="18"/>
      <c r="AZ211" s="18"/>
      <c r="BA211" s="18">
        <v>0</v>
      </c>
      <c r="BB211" s="18">
        <v>0</v>
      </c>
      <c r="BC211" s="10">
        <f t="shared" si="236"/>
        <v>0</v>
      </c>
      <c r="BD211" s="18"/>
      <c r="BE211" s="26">
        <f t="shared" si="309"/>
        <v>0</v>
      </c>
      <c r="BF211" s="104">
        <f t="shared" si="309"/>
        <v>0</v>
      </c>
      <c r="BG211" s="13"/>
      <c r="BH211" s="104">
        <f t="shared" ref="BH211:BH245" si="333">IF(BG211,1,0)</f>
        <v>0</v>
      </c>
      <c r="BI211" s="13"/>
      <c r="BJ211" s="104">
        <f t="shared" si="266"/>
        <v>0</v>
      </c>
      <c r="BK211" s="13"/>
      <c r="BL211" s="13"/>
      <c r="BM211" s="13"/>
      <c r="BN211" s="13" t="s">
        <v>914</v>
      </c>
      <c r="BO211" s="13" t="s">
        <v>1646</v>
      </c>
      <c r="BP211" s="13" t="s">
        <v>1023</v>
      </c>
      <c r="BQ211" s="13" t="s">
        <v>1024</v>
      </c>
      <c r="BR211" s="13" t="s">
        <v>1025</v>
      </c>
      <c r="BS211" s="13" t="s">
        <v>11</v>
      </c>
      <c r="BT211" s="63" t="s">
        <v>1026</v>
      </c>
    </row>
    <row r="212" spans="1:77" ht="39.75" customHeight="1" outlineLevel="1" x14ac:dyDescent="0.25">
      <c r="A212" s="106"/>
      <c r="B212" s="59">
        <v>2</v>
      </c>
      <c r="C212" s="104" t="s">
        <v>1481</v>
      </c>
      <c r="D212" s="104" t="s">
        <v>1482</v>
      </c>
      <c r="E212" s="104" t="s">
        <v>9</v>
      </c>
      <c r="F212" s="104">
        <v>432982</v>
      </c>
      <c r="G212" s="104">
        <v>426600.6</v>
      </c>
      <c r="H212" s="104">
        <v>404848</v>
      </c>
      <c r="I212" s="104">
        <f t="shared" si="327"/>
        <v>21752.599999999977</v>
      </c>
      <c r="J212" s="104">
        <v>1</v>
      </c>
      <c r="K212" s="104">
        <v>1</v>
      </c>
      <c r="L212" s="104">
        <v>1</v>
      </c>
      <c r="M212" s="13">
        <v>166667</v>
      </c>
      <c r="N212" s="104">
        <f t="shared" ref="N212:N231" si="334">AC212+AI212</f>
        <v>238181.11111111112</v>
      </c>
      <c r="O212" s="104">
        <v>233941</v>
      </c>
      <c r="P212" s="104">
        <v>1</v>
      </c>
      <c r="Q212" s="26">
        <v>233941</v>
      </c>
      <c r="R212" s="104">
        <v>1</v>
      </c>
      <c r="S212" s="104">
        <f t="shared" si="256"/>
        <v>19578</v>
      </c>
      <c r="T212" s="104"/>
      <c r="U212" s="26">
        <f t="shared" si="328"/>
        <v>214363</v>
      </c>
      <c r="V212" s="113">
        <f t="shared" si="328"/>
        <v>1</v>
      </c>
      <c r="W212" s="13">
        <v>214363</v>
      </c>
      <c r="X212" s="113">
        <f t="shared" si="329"/>
        <v>1</v>
      </c>
      <c r="Y212" s="13"/>
      <c r="Z212" s="113">
        <f t="shared" si="330"/>
        <v>0</v>
      </c>
      <c r="AA212" s="118">
        <v>0</v>
      </c>
      <c r="AB212" s="122"/>
      <c r="AC212" s="26">
        <f t="shared" si="260"/>
        <v>214363</v>
      </c>
      <c r="AD212" s="104">
        <f t="shared" si="260"/>
        <v>1</v>
      </c>
      <c r="AE212" s="13">
        <v>214363</v>
      </c>
      <c r="AF212" s="104">
        <f t="shared" si="331"/>
        <v>1</v>
      </c>
      <c r="AG212" s="13"/>
      <c r="AH212" s="104">
        <f t="shared" si="332"/>
        <v>0</v>
      </c>
      <c r="AI212" s="13">
        <f t="shared" ref="AI212:AI231" si="335">AC212/0.9*0.1</f>
        <v>23818.111111111109</v>
      </c>
      <c r="AJ212" s="13">
        <v>1</v>
      </c>
      <c r="AK212" s="13"/>
      <c r="AL212" s="13">
        <v>0</v>
      </c>
      <c r="AM212" s="13">
        <v>0</v>
      </c>
      <c r="AN212" s="104">
        <f t="shared" si="235"/>
        <v>0</v>
      </c>
      <c r="AO212" s="13"/>
      <c r="AP212" s="13">
        <f t="shared" ref="AP212:AP231" si="336">U212-AC212</f>
        <v>0</v>
      </c>
      <c r="AQ212" s="13"/>
      <c r="AR212" s="34">
        <f t="shared" si="263"/>
        <v>0</v>
      </c>
      <c r="AS212" s="10">
        <f t="shared" si="263"/>
        <v>0</v>
      </c>
      <c r="AT212" s="19"/>
      <c r="AU212" s="10">
        <f t="shared" si="274"/>
        <v>0</v>
      </c>
      <c r="AV212" s="19"/>
      <c r="AW212" s="10">
        <f t="shared" si="275"/>
        <v>0</v>
      </c>
      <c r="AX212" s="19"/>
      <c r="AY212" s="19"/>
      <c r="AZ212" s="19"/>
      <c r="BA212" s="19">
        <v>0</v>
      </c>
      <c r="BB212" s="19">
        <v>0</v>
      </c>
      <c r="BC212" s="10">
        <f t="shared" si="236"/>
        <v>0</v>
      </c>
      <c r="BD212" s="19"/>
      <c r="BE212" s="26">
        <f t="shared" si="309"/>
        <v>0</v>
      </c>
      <c r="BF212" s="104">
        <f t="shared" si="309"/>
        <v>0</v>
      </c>
      <c r="BG212" s="13"/>
      <c r="BH212" s="104">
        <f t="shared" si="333"/>
        <v>0</v>
      </c>
      <c r="BI212" s="13"/>
      <c r="BJ212" s="104">
        <f t="shared" si="266"/>
        <v>0</v>
      </c>
      <c r="BK212" s="13"/>
      <c r="BL212" s="13"/>
      <c r="BM212" s="13"/>
      <c r="BN212" s="13" t="s">
        <v>1647</v>
      </c>
      <c r="BO212" s="13" t="s">
        <v>1039</v>
      </c>
      <c r="BP212" s="13" t="s">
        <v>1648</v>
      </c>
      <c r="BQ212" s="13" t="s">
        <v>1037</v>
      </c>
      <c r="BR212" s="13" t="s">
        <v>1038</v>
      </c>
      <c r="BS212" s="13" t="s">
        <v>1040</v>
      </c>
      <c r="BT212" s="63" t="s">
        <v>1649</v>
      </c>
    </row>
    <row r="213" spans="1:77" ht="33" customHeight="1" outlineLevel="1" x14ac:dyDescent="0.25">
      <c r="A213" s="106"/>
      <c r="B213" s="59">
        <v>3</v>
      </c>
      <c r="C213" s="104" t="s">
        <v>309</v>
      </c>
      <c r="D213" s="104" t="s">
        <v>310</v>
      </c>
      <c r="E213" s="104" t="s">
        <v>9</v>
      </c>
      <c r="F213" s="104">
        <v>400032</v>
      </c>
      <c r="G213" s="104">
        <v>395739</v>
      </c>
      <c r="H213" s="104">
        <v>377613</v>
      </c>
      <c r="I213" s="104">
        <f t="shared" si="327"/>
        <v>18126</v>
      </c>
      <c r="J213" s="104">
        <v>1</v>
      </c>
      <c r="K213" s="104">
        <v>1</v>
      </c>
      <c r="L213" s="104"/>
      <c r="M213" s="13">
        <v>166667</v>
      </c>
      <c r="N213" s="104">
        <f t="shared" si="334"/>
        <v>210945.55555555556</v>
      </c>
      <c r="O213" s="104">
        <v>206165</v>
      </c>
      <c r="P213" s="104">
        <v>1</v>
      </c>
      <c r="Q213" s="26">
        <v>206165</v>
      </c>
      <c r="R213" s="104">
        <v>1</v>
      </c>
      <c r="S213" s="104">
        <f t="shared" si="256"/>
        <v>16314</v>
      </c>
      <c r="T213" s="104"/>
      <c r="U213" s="26">
        <f t="shared" si="328"/>
        <v>189851</v>
      </c>
      <c r="V213" s="113">
        <f t="shared" si="328"/>
        <v>1</v>
      </c>
      <c r="W213" s="13">
        <v>189851</v>
      </c>
      <c r="X213" s="113">
        <f t="shared" si="329"/>
        <v>1</v>
      </c>
      <c r="Y213" s="13"/>
      <c r="Z213" s="113">
        <f t="shared" si="330"/>
        <v>0</v>
      </c>
      <c r="AA213" s="118">
        <v>0</v>
      </c>
      <c r="AB213" s="122"/>
      <c r="AC213" s="26">
        <f t="shared" si="260"/>
        <v>189851</v>
      </c>
      <c r="AD213" s="104">
        <f t="shared" si="260"/>
        <v>1</v>
      </c>
      <c r="AE213" s="13">
        <v>189851</v>
      </c>
      <c r="AF213" s="104">
        <f t="shared" si="331"/>
        <v>1</v>
      </c>
      <c r="AG213" s="13"/>
      <c r="AH213" s="104">
        <f t="shared" si="332"/>
        <v>0</v>
      </c>
      <c r="AI213" s="13">
        <f t="shared" si="335"/>
        <v>21094.555555555558</v>
      </c>
      <c r="AJ213" s="13">
        <v>1</v>
      </c>
      <c r="AK213" s="13"/>
      <c r="AL213" s="13">
        <v>0</v>
      </c>
      <c r="AM213" s="13">
        <v>0</v>
      </c>
      <c r="AN213" s="104">
        <f t="shared" si="235"/>
        <v>0</v>
      </c>
      <c r="AO213" s="13"/>
      <c r="AP213" s="13">
        <f t="shared" si="336"/>
        <v>0</v>
      </c>
      <c r="AQ213" s="13"/>
      <c r="AR213" s="34">
        <f t="shared" si="263"/>
        <v>0</v>
      </c>
      <c r="AS213" s="10">
        <f t="shared" si="263"/>
        <v>0</v>
      </c>
      <c r="AT213" s="19"/>
      <c r="AU213" s="10">
        <f t="shared" si="274"/>
        <v>0</v>
      </c>
      <c r="AV213" s="19"/>
      <c r="AW213" s="10">
        <f t="shared" si="275"/>
        <v>0</v>
      </c>
      <c r="AX213" s="19"/>
      <c r="AY213" s="19"/>
      <c r="AZ213" s="19"/>
      <c r="BA213" s="19">
        <v>0</v>
      </c>
      <c r="BB213" s="19">
        <v>0</v>
      </c>
      <c r="BC213" s="10">
        <f t="shared" si="236"/>
        <v>0</v>
      </c>
      <c r="BD213" s="19"/>
      <c r="BE213" s="26">
        <f t="shared" si="309"/>
        <v>0</v>
      </c>
      <c r="BF213" s="104">
        <f t="shared" si="309"/>
        <v>0</v>
      </c>
      <c r="BG213" s="13"/>
      <c r="BH213" s="104">
        <f t="shared" si="333"/>
        <v>0</v>
      </c>
      <c r="BI213" s="13"/>
      <c r="BJ213" s="104">
        <f t="shared" si="266"/>
        <v>0</v>
      </c>
      <c r="BK213" s="13"/>
      <c r="BL213" s="13"/>
      <c r="BM213" s="13"/>
      <c r="BN213" s="13" t="s">
        <v>915</v>
      </c>
      <c r="BO213" s="13" t="s">
        <v>1650</v>
      </c>
      <c r="BP213" s="13" t="s">
        <v>1013</v>
      </c>
      <c r="BQ213" s="13" t="s">
        <v>1011</v>
      </c>
      <c r="BR213" s="13" t="s">
        <v>1010</v>
      </c>
      <c r="BS213" s="13" t="s">
        <v>1012</v>
      </c>
      <c r="BT213" s="63" t="s">
        <v>1014</v>
      </c>
    </row>
    <row r="214" spans="1:77" ht="44.25" customHeight="1" outlineLevel="1" x14ac:dyDescent="0.25">
      <c r="A214" s="106"/>
      <c r="B214" s="59">
        <v>4</v>
      </c>
      <c r="C214" s="104" t="s">
        <v>1485</v>
      </c>
      <c r="D214" s="104" t="s">
        <v>1494</v>
      </c>
      <c r="E214" s="104" t="s">
        <v>9</v>
      </c>
      <c r="F214" s="104">
        <v>437950</v>
      </c>
      <c r="G214" s="104">
        <v>432591</v>
      </c>
      <c r="H214" s="104">
        <v>427247</v>
      </c>
      <c r="I214" s="104">
        <f t="shared" si="327"/>
        <v>5344</v>
      </c>
      <c r="J214" s="104">
        <v>1</v>
      </c>
      <c r="K214" s="104">
        <v>1</v>
      </c>
      <c r="L214" s="104"/>
      <c r="M214" s="13">
        <v>200000</v>
      </c>
      <c r="N214" s="104">
        <f t="shared" si="334"/>
        <v>227246.66666666666</v>
      </c>
      <c r="O214" s="104">
        <v>209332</v>
      </c>
      <c r="P214" s="104">
        <v>1</v>
      </c>
      <c r="Q214" s="26">
        <v>209332</v>
      </c>
      <c r="R214" s="104">
        <v>1</v>
      </c>
      <c r="S214" s="104">
        <f t="shared" si="256"/>
        <v>4810</v>
      </c>
      <c r="T214" s="104"/>
      <c r="U214" s="26">
        <f t="shared" si="328"/>
        <v>204522</v>
      </c>
      <c r="V214" s="113">
        <f t="shared" si="328"/>
        <v>1</v>
      </c>
      <c r="W214" s="13">
        <v>204522</v>
      </c>
      <c r="X214" s="113">
        <f t="shared" si="329"/>
        <v>1</v>
      </c>
      <c r="Y214" s="13"/>
      <c r="Z214" s="113">
        <f t="shared" si="330"/>
        <v>0</v>
      </c>
      <c r="AA214" s="118">
        <v>0</v>
      </c>
      <c r="AB214" s="122"/>
      <c r="AC214" s="26">
        <f t="shared" si="260"/>
        <v>204522</v>
      </c>
      <c r="AD214" s="104">
        <f t="shared" si="260"/>
        <v>1</v>
      </c>
      <c r="AE214" s="13">
        <v>204522</v>
      </c>
      <c r="AF214" s="104">
        <f t="shared" si="331"/>
        <v>1</v>
      </c>
      <c r="AG214" s="13"/>
      <c r="AH214" s="104">
        <f t="shared" si="332"/>
        <v>0</v>
      </c>
      <c r="AI214" s="13">
        <f t="shared" si="335"/>
        <v>22724.666666666668</v>
      </c>
      <c r="AJ214" s="13">
        <v>1</v>
      </c>
      <c r="AK214" s="13"/>
      <c r="AL214" s="13">
        <v>0</v>
      </c>
      <c r="AM214" s="13">
        <v>0</v>
      </c>
      <c r="AN214" s="104">
        <f t="shared" si="235"/>
        <v>0</v>
      </c>
      <c r="AO214" s="13"/>
      <c r="AP214" s="13">
        <f t="shared" si="336"/>
        <v>0</v>
      </c>
      <c r="AQ214" s="13"/>
      <c r="AR214" s="34">
        <f t="shared" si="263"/>
        <v>0</v>
      </c>
      <c r="AS214" s="10">
        <f t="shared" si="263"/>
        <v>0</v>
      </c>
      <c r="AT214" s="19"/>
      <c r="AU214" s="10">
        <f t="shared" si="274"/>
        <v>0</v>
      </c>
      <c r="AV214" s="19"/>
      <c r="AW214" s="10">
        <f t="shared" si="275"/>
        <v>0</v>
      </c>
      <c r="AX214" s="19"/>
      <c r="AY214" s="19"/>
      <c r="AZ214" s="19"/>
      <c r="BA214" s="19">
        <v>0</v>
      </c>
      <c r="BB214" s="19">
        <v>0</v>
      </c>
      <c r="BC214" s="10">
        <f t="shared" si="236"/>
        <v>0</v>
      </c>
      <c r="BD214" s="19"/>
      <c r="BE214" s="26">
        <f t="shared" si="309"/>
        <v>0</v>
      </c>
      <c r="BF214" s="104">
        <f t="shared" si="309"/>
        <v>0</v>
      </c>
      <c r="BG214" s="13"/>
      <c r="BH214" s="104">
        <f t="shared" si="333"/>
        <v>0</v>
      </c>
      <c r="BI214" s="13"/>
      <c r="BJ214" s="104">
        <f t="shared" si="266"/>
        <v>0</v>
      </c>
      <c r="BK214" s="13"/>
      <c r="BL214" s="13"/>
      <c r="BM214" s="13"/>
      <c r="BN214" s="13" t="s">
        <v>1651</v>
      </c>
      <c r="BO214" s="13" t="s">
        <v>1652</v>
      </c>
      <c r="BP214" s="13" t="s">
        <v>1653</v>
      </c>
      <c r="BQ214" s="13" t="s">
        <v>1015</v>
      </c>
      <c r="BR214" s="13" t="s">
        <v>1016</v>
      </c>
      <c r="BS214" s="13" t="s">
        <v>1654</v>
      </c>
      <c r="BT214" s="63" t="s">
        <v>1017</v>
      </c>
    </row>
    <row r="215" spans="1:77" ht="36" customHeight="1" outlineLevel="1" x14ac:dyDescent="0.25">
      <c r="A215" s="106"/>
      <c r="B215" s="59">
        <v>5</v>
      </c>
      <c r="C215" s="104" t="s">
        <v>1488</v>
      </c>
      <c r="D215" s="104" t="s">
        <v>1493</v>
      </c>
      <c r="E215" s="104" t="s">
        <v>9</v>
      </c>
      <c r="F215" s="104">
        <v>437019</v>
      </c>
      <c r="G215" s="104">
        <v>432901</v>
      </c>
      <c r="H215" s="104">
        <v>406290</v>
      </c>
      <c r="I215" s="104">
        <f t="shared" si="327"/>
        <v>26611</v>
      </c>
      <c r="J215" s="104">
        <v>1</v>
      </c>
      <c r="K215" s="104">
        <v>1</v>
      </c>
      <c r="L215" s="104"/>
      <c r="M215" s="13">
        <v>200000</v>
      </c>
      <c r="N215" s="104">
        <f t="shared" si="334"/>
        <v>206290</v>
      </c>
      <c r="O215" s="104">
        <v>209611</v>
      </c>
      <c r="P215" s="104">
        <v>1</v>
      </c>
      <c r="Q215" s="26">
        <v>209611</v>
      </c>
      <c r="R215" s="104">
        <v>1</v>
      </c>
      <c r="S215" s="104">
        <f t="shared" si="256"/>
        <v>23950</v>
      </c>
      <c r="T215" s="104"/>
      <c r="U215" s="26">
        <f t="shared" si="328"/>
        <v>185661</v>
      </c>
      <c r="V215" s="113">
        <f t="shared" si="328"/>
        <v>1</v>
      </c>
      <c r="W215" s="13">
        <v>185661</v>
      </c>
      <c r="X215" s="113">
        <f t="shared" si="329"/>
        <v>1</v>
      </c>
      <c r="Y215" s="13"/>
      <c r="Z215" s="113">
        <f t="shared" si="330"/>
        <v>0</v>
      </c>
      <c r="AA215" s="118">
        <v>0</v>
      </c>
      <c r="AB215" s="122"/>
      <c r="AC215" s="26">
        <f t="shared" si="260"/>
        <v>185661</v>
      </c>
      <c r="AD215" s="104">
        <f t="shared" si="260"/>
        <v>1</v>
      </c>
      <c r="AE215" s="13">
        <v>185661</v>
      </c>
      <c r="AF215" s="104">
        <f t="shared" si="331"/>
        <v>1</v>
      </c>
      <c r="AG215" s="13"/>
      <c r="AH215" s="104">
        <f t="shared" si="332"/>
        <v>0</v>
      </c>
      <c r="AI215" s="13">
        <f t="shared" si="335"/>
        <v>20629</v>
      </c>
      <c r="AJ215" s="13">
        <v>1</v>
      </c>
      <c r="AK215" s="13"/>
      <c r="AL215" s="13">
        <v>0</v>
      </c>
      <c r="AM215" s="13">
        <v>0</v>
      </c>
      <c r="AN215" s="104">
        <f t="shared" si="235"/>
        <v>0</v>
      </c>
      <c r="AO215" s="13"/>
      <c r="AP215" s="13">
        <f t="shared" si="336"/>
        <v>0</v>
      </c>
      <c r="AQ215" s="13"/>
      <c r="AR215" s="34">
        <f t="shared" si="263"/>
        <v>0</v>
      </c>
      <c r="AS215" s="10">
        <f t="shared" si="263"/>
        <v>0</v>
      </c>
      <c r="AT215" s="19"/>
      <c r="AU215" s="10">
        <f t="shared" si="274"/>
        <v>0</v>
      </c>
      <c r="AV215" s="19"/>
      <c r="AW215" s="10">
        <f t="shared" si="275"/>
        <v>0</v>
      </c>
      <c r="AX215" s="19"/>
      <c r="AY215" s="19"/>
      <c r="AZ215" s="19"/>
      <c r="BA215" s="19">
        <v>0</v>
      </c>
      <c r="BB215" s="19">
        <v>0</v>
      </c>
      <c r="BC215" s="10">
        <f t="shared" si="236"/>
        <v>0</v>
      </c>
      <c r="BD215" s="19"/>
      <c r="BE215" s="26">
        <f t="shared" si="309"/>
        <v>0</v>
      </c>
      <c r="BF215" s="104">
        <f t="shared" si="309"/>
        <v>0</v>
      </c>
      <c r="BG215" s="13"/>
      <c r="BH215" s="104">
        <f t="shared" si="333"/>
        <v>0</v>
      </c>
      <c r="BI215" s="13"/>
      <c r="BJ215" s="104">
        <f t="shared" si="266"/>
        <v>0</v>
      </c>
      <c r="BK215" s="13"/>
      <c r="BL215" s="13"/>
      <c r="BM215" s="13"/>
      <c r="BN215" s="13" t="s">
        <v>917</v>
      </c>
      <c r="BO215" s="13" t="s">
        <v>1655</v>
      </c>
      <c r="BP215" s="13" t="s">
        <v>1193</v>
      </c>
      <c r="BQ215" s="13" t="s">
        <v>1036</v>
      </c>
      <c r="BR215" s="13" t="s">
        <v>1656</v>
      </c>
      <c r="BS215" s="13" t="s">
        <v>1194</v>
      </c>
      <c r="BT215" s="63" t="s">
        <v>1195</v>
      </c>
    </row>
    <row r="216" spans="1:77" ht="39.75" customHeight="1" outlineLevel="1" x14ac:dyDescent="0.25">
      <c r="A216" s="106"/>
      <c r="B216" s="59">
        <v>6</v>
      </c>
      <c r="C216" s="104" t="s">
        <v>1489</v>
      </c>
      <c r="D216" s="104" t="s">
        <v>1492</v>
      </c>
      <c r="E216" s="104" t="s">
        <v>9</v>
      </c>
      <c r="F216" s="104">
        <v>547739</v>
      </c>
      <c r="G216" s="104">
        <v>542355</v>
      </c>
      <c r="H216" s="104">
        <v>508951</v>
      </c>
      <c r="I216" s="104">
        <f t="shared" si="327"/>
        <v>33404</v>
      </c>
      <c r="J216" s="104">
        <v>1</v>
      </c>
      <c r="K216" s="104">
        <v>1</v>
      </c>
      <c r="L216" s="104"/>
      <c r="M216" s="13">
        <v>244444</v>
      </c>
      <c r="N216" s="104">
        <f t="shared" si="334"/>
        <v>264506.66666666669</v>
      </c>
      <c r="O216" s="104">
        <v>268119</v>
      </c>
      <c r="P216" s="104">
        <v>1</v>
      </c>
      <c r="Q216" s="26">
        <v>268119</v>
      </c>
      <c r="R216" s="104">
        <v>1</v>
      </c>
      <c r="S216" s="104">
        <f t="shared" si="256"/>
        <v>30063</v>
      </c>
      <c r="T216" s="104"/>
      <c r="U216" s="26">
        <f t="shared" si="328"/>
        <v>238056</v>
      </c>
      <c r="V216" s="113">
        <f t="shared" si="328"/>
        <v>1</v>
      </c>
      <c r="W216" s="13">
        <v>238056</v>
      </c>
      <c r="X216" s="113">
        <f t="shared" si="329"/>
        <v>1</v>
      </c>
      <c r="Y216" s="13"/>
      <c r="Z216" s="113">
        <f t="shared" si="330"/>
        <v>0</v>
      </c>
      <c r="AA216" s="118">
        <v>0</v>
      </c>
      <c r="AB216" s="122"/>
      <c r="AC216" s="26">
        <f t="shared" si="260"/>
        <v>238056</v>
      </c>
      <c r="AD216" s="104">
        <f t="shared" si="260"/>
        <v>1</v>
      </c>
      <c r="AE216" s="13">
        <v>238056</v>
      </c>
      <c r="AF216" s="104">
        <f t="shared" si="331"/>
        <v>1</v>
      </c>
      <c r="AG216" s="13"/>
      <c r="AH216" s="104">
        <f t="shared" si="332"/>
        <v>0</v>
      </c>
      <c r="AI216" s="13">
        <f t="shared" si="335"/>
        <v>26450.666666666672</v>
      </c>
      <c r="AJ216" s="13">
        <v>1</v>
      </c>
      <c r="AK216" s="13"/>
      <c r="AL216" s="13">
        <v>0</v>
      </c>
      <c r="AM216" s="13">
        <v>0</v>
      </c>
      <c r="AN216" s="104">
        <f t="shared" si="235"/>
        <v>0</v>
      </c>
      <c r="AO216" s="13"/>
      <c r="AP216" s="13">
        <f t="shared" si="336"/>
        <v>0</v>
      </c>
      <c r="AQ216" s="13"/>
      <c r="AR216" s="34">
        <f t="shared" si="263"/>
        <v>0</v>
      </c>
      <c r="AS216" s="10">
        <f t="shared" si="263"/>
        <v>0</v>
      </c>
      <c r="AT216" s="19"/>
      <c r="AU216" s="10">
        <f t="shared" si="274"/>
        <v>0</v>
      </c>
      <c r="AV216" s="19"/>
      <c r="AW216" s="10">
        <f t="shared" si="275"/>
        <v>0</v>
      </c>
      <c r="AX216" s="19"/>
      <c r="AY216" s="19"/>
      <c r="AZ216" s="19"/>
      <c r="BA216" s="19">
        <v>0</v>
      </c>
      <c r="BB216" s="19">
        <v>0</v>
      </c>
      <c r="BC216" s="10">
        <f t="shared" si="236"/>
        <v>0</v>
      </c>
      <c r="BD216" s="19"/>
      <c r="BE216" s="26">
        <f t="shared" si="309"/>
        <v>0</v>
      </c>
      <c r="BF216" s="104">
        <f t="shared" si="309"/>
        <v>0</v>
      </c>
      <c r="BG216" s="13"/>
      <c r="BH216" s="104">
        <f t="shared" si="333"/>
        <v>0</v>
      </c>
      <c r="BI216" s="13"/>
      <c r="BJ216" s="104">
        <f t="shared" si="266"/>
        <v>0</v>
      </c>
      <c r="BK216" s="13"/>
      <c r="BL216" s="13"/>
      <c r="BM216" s="13"/>
      <c r="BN216" s="13" t="s">
        <v>1657</v>
      </c>
      <c r="BO216" s="13" t="s">
        <v>1022</v>
      </c>
      <c r="BP216" s="13" t="s">
        <v>1658</v>
      </c>
      <c r="BQ216" s="13" t="s">
        <v>1021</v>
      </c>
      <c r="BR216" s="13" t="s">
        <v>1659</v>
      </c>
      <c r="BS216" s="13" t="s">
        <v>1660</v>
      </c>
      <c r="BT216" s="63" t="s">
        <v>1661</v>
      </c>
    </row>
    <row r="217" spans="1:77" ht="49.5" customHeight="1" outlineLevel="1" x14ac:dyDescent="0.25">
      <c r="A217" s="106"/>
      <c r="B217" s="59">
        <v>7</v>
      </c>
      <c r="C217" s="104" t="s">
        <v>1490</v>
      </c>
      <c r="D217" s="104" t="s">
        <v>1491</v>
      </c>
      <c r="E217" s="104" t="s">
        <v>9</v>
      </c>
      <c r="F217" s="104">
        <v>890272</v>
      </c>
      <c r="G217" s="104">
        <v>864526</v>
      </c>
      <c r="H217" s="104">
        <v>819316</v>
      </c>
      <c r="I217" s="104">
        <f t="shared" si="327"/>
        <v>45210</v>
      </c>
      <c r="J217" s="104">
        <v>1</v>
      </c>
      <c r="K217" s="104">
        <v>1</v>
      </c>
      <c r="L217" s="104"/>
      <c r="M217" s="13">
        <v>277778</v>
      </c>
      <c r="N217" s="104">
        <f t="shared" si="334"/>
        <v>541537.77777777775</v>
      </c>
      <c r="O217" s="104">
        <v>528073</v>
      </c>
      <c r="P217" s="104">
        <v>1</v>
      </c>
      <c r="Q217" s="26">
        <v>528073</v>
      </c>
      <c r="R217" s="104">
        <v>1</v>
      </c>
      <c r="S217" s="104">
        <f t="shared" si="256"/>
        <v>40689</v>
      </c>
      <c r="T217" s="104"/>
      <c r="U217" s="26">
        <f t="shared" si="328"/>
        <v>487384</v>
      </c>
      <c r="V217" s="113">
        <f t="shared" si="328"/>
        <v>1</v>
      </c>
      <c r="W217" s="13">
        <v>487384</v>
      </c>
      <c r="X217" s="113">
        <f t="shared" si="329"/>
        <v>1</v>
      </c>
      <c r="Y217" s="13"/>
      <c r="Z217" s="113">
        <f t="shared" si="330"/>
        <v>0</v>
      </c>
      <c r="AA217" s="118">
        <v>0</v>
      </c>
      <c r="AB217" s="122"/>
      <c r="AC217" s="26">
        <f t="shared" si="260"/>
        <v>487384</v>
      </c>
      <c r="AD217" s="104">
        <f t="shared" si="260"/>
        <v>1</v>
      </c>
      <c r="AE217" s="13">
        <v>487384</v>
      </c>
      <c r="AF217" s="104">
        <f t="shared" si="331"/>
        <v>1</v>
      </c>
      <c r="AG217" s="13"/>
      <c r="AH217" s="104">
        <f t="shared" si="332"/>
        <v>0</v>
      </c>
      <c r="AI217" s="13">
        <f t="shared" si="335"/>
        <v>54153.777777777781</v>
      </c>
      <c r="AJ217" s="13">
        <v>1</v>
      </c>
      <c r="AK217" s="13"/>
      <c r="AL217" s="13">
        <v>0</v>
      </c>
      <c r="AM217" s="13">
        <v>0</v>
      </c>
      <c r="AN217" s="104">
        <f t="shared" si="235"/>
        <v>0</v>
      </c>
      <c r="AO217" s="13"/>
      <c r="AP217" s="13">
        <f t="shared" si="336"/>
        <v>0</v>
      </c>
      <c r="AQ217" s="13"/>
      <c r="AR217" s="34">
        <f t="shared" si="263"/>
        <v>0</v>
      </c>
      <c r="AS217" s="10">
        <f t="shared" si="263"/>
        <v>0</v>
      </c>
      <c r="AT217" s="19"/>
      <c r="AU217" s="10">
        <f t="shared" si="274"/>
        <v>0</v>
      </c>
      <c r="AV217" s="19"/>
      <c r="AW217" s="10">
        <f t="shared" si="275"/>
        <v>0</v>
      </c>
      <c r="AX217" s="19"/>
      <c r="AY217" s="19"/>
      <c r="AZ217" s="19"/>
      <c r="BA217" s="19">
        <v>0</v>
      </c>
      <c r="BB217" s="19">
        <v>0</v>
      </c>
      <c r="BC217" s="10">
        <f t="shared" si="236"/>
        <v>0</v>
      </c>
      <c r="BD217" s="19"/>
      <c r="BE217" s="26">
        <f t="shared" si="309"/>
        <v>0</v>
      </c>
      <c r="BF217" s="104">
        <f t="shared" si="309"/>
        <v>0</v>
      </c>
      <c r="BG217" s="13"/>
      <c r="BH217" s="104">
        <f t="shared" si="333"/>
        <v>0</v>
      </c>
      <c r="BI217" s="13"/>
      <c r="BJ217" s="104">
        <f t="shared" si="266"/>
        <v>0</v>
      </c>
      <c r="BK217" s="13"/>
      <c r="BL217" s="13"/>
      <c r="BM217" s="13"/>
      <c r="BN217" s="13" t="s">
        <v>916</v>
      </c>
      <c r="BO217" s="13" t="s">
        <v>1662</v>
      </c>
      <c r="BP217" s="13" t="s">
        <v>1228</v>
      </c>
      <c r="BQ217" s="13" t="s">
        <v>1018</v>
      </c>
      <c r="BR217" s="13" t="s">
        <v>1019</v>
      </c>
      <c r="BS217" s="13" t="s">
        <v>1020</v>
      </c>
      <c r="BT217" s="63" t="s">
        <v>1663</v>
      </c>
    </row>
    <row r="218" spans="1:77" ht="42.75" customHeight="1" outlineLevel="1" x14ac:dyDescent="0.25">
      <c r="A218" s="106"/>
      <c r="B218" s="59">
        <v>8</v>
      </c>
      <c r="C218" s="104" t="s">
        <v>311</v>
      </c>
      <c r="D218" s="104" t="s">
        <v>312</v>
      </c>
      <c r="E218" s="104" t="s">
        <v>9</v>
      </c>
      <c r="F218" s="104">
        <v>590718</v>
      </c>
      <c r="G218" s="104">
        <v>575964</v>
      </c>
      <c r="H218" s="104">
        <v>559957</v>
      </c>
      <c r="I218" s="104">
        <f t="shared" si="327"/>
        <v>16007</v>
      </c>
      <c r="J218" s="104">
        <v>1</v>
      </c>
      <c r="K218" s="104">
        <v>1</v>
      </c>
      <c r="L218" s="104"/>
      <c r="M218" s="13">
        <v>352604</v>
      </c>
      <c r="N218" s="104">
        <f t="shared" si="334"/>
        <v>207353.33333333334</v>
      </c>
      <c r="O218" s="104">
        <v>201024</v>
      </c>
      <c r="P218" s="104">
        <v>1</v>
      </c>
      <c r="Q218" s="26">
        <v>201024</v>
      </c>
      <c r="R218" s="104">
        <v>1</v>
      </c>
      <c r="S218" s="104">
        <f t="shared" si="256"/>
        <v>14406</v>
      </c>
      <c r="T218" s="104"/>
      <c r="U218" s="26">
        <f t="shared" si="328"/>
        <v>186618</v>
      </c>
      <c r="V218" s="113">
        <f t="shared" si="328"/>
        <v>1</v>
      </c>
      <c r="W218" s="13">
        <v>186618</v>
      </c>
      <c r="X218" s="113">
        <f t="shared" si="329"/>
        <v>1</v>
      </c>
      <c r="Y218" s="13"/>
      <c r="Z218" s="113">
        <f t="shared" si="330"/>
        <v>0</v>
      </c>
      <c r="AA218" s="118">
        <v>0</v>
      </c>
      <c r="AB218" s="122"/>
      <c r="AC218" s="26">
        <f t="shared" si="260"/>
        <v>186618</v>
      </c>
      <c r="AD218" s="104">
        <f t="shared" si="260"/>
        <v>1</v>
      </c>
      <c r="AE218" s="13">
        <f>186618</f>
        <v>186618</v>
      </c>
      <c r="AF218" s="104">
        <f t="shared" si="331"/>
        <v>1</v>
      </c>
      <c r="AG218" s="13"/>
      <c r="AH218" s="104">
        <f t="shared" si="332"/>
        <v>0</v>
      </c>
      <c r="AI218" s="13">
        <f t="shared" si="335"/>
        <v>20735.333333333332</v>
      </c>
      <c r="AJ218" s="13">
        <v>1</v>
      </c>
      <c r="AK218" s="13"/>
      <c r="AL218" s="13">
        <v>0</v>
      </c>
      <c r="AM218" s="13">
        <v>0</v>
      </c>
      <c r="AN218" s="104">
        <f t="shared" si="235"/>
        <v>-13014</v>
      </c>
      <c r="AO218" s="13"/>
      <c r="AP218" s="13">
        <f t="shared" si="336"/>
        <v>0</v>
      </c>
      <c r="AQ218" s="13"/>
      <c r="AR218" s="34">
        <f t="shared" si="263"/>
        <v>13014</v>
      </c>
      <c r="AS218" s="10">
        <f t="shared" si="263"/>
        <v>1</v>
      </c>
      <c r="AT218" s="19">
        <v>13014</v>
      </c>
      <c r="AU218" s="10">
        <f t="shared" si="274"/>
        <v>1</v>
      </c>
      <c r="AV218" s="19"/>
      <c r="AW218" s="10">
        <f t="shared" si="275"/>
        <v>0</v>
      </c>
      <c r="AX218" s="19">
        <f>AR218/0.9*0.1</f>
        <v>1446</v>
      </c>
      <c r="AY218" s="19"/>
      <c r="AZ218" s="19"/>
      <c r="BA218" s="19">
        <v>0</v>
      </c>
      <c r="BB218" s="19">
        <v>0</v>
      </c>
      <c r="BC218" s="10">
        <f t="shared" si="236"/>
        <v>0</v>
      </c>
      <c r="BD218" s="19"/>
      <c r="BE218" s="26">
        <f t="shared" si="309"/>
        <v>0</v>
      </c>
      <c r="BF218" s="104">
        <f t="shared" si="309"/>
        <v>0</v>
      </c>
      <c r="BG218" s="13"/>
      <c r="BH218" s="104">
        <f t="shared" si="333"/>
        <v>0</v>
      </c>
      <c r="BI218" s="13"/>
      <c r="BJ218" s="104">
        <f t="shared" si="266"/>
        <v>0</v>
      </c>
      <c r="BK218" s="13">
        <f>BE218/0.9*0.1</f>
        <v>0</v>
      </c>
      <c r="BL218" s="13"/>
      <c r="BM218" s="13"/>
      <c r="BN218" s="13" t="s">
        <v>1122</v>
      </c>
      <c r="BO218" s="13" t="s">
        <v>1664</v>
      </c>
      <c r="BP218" s="13" t="s">
        <v>1665</v>
      </c>
      <c r="BQ218" s="13" t="s">
        <v>1121</v>
      </c>
      <c r="BR218" s="13" t="s">
        <v>1120</v>
      </c>
      <c r="BS218" s="13" t="s">
        <v>11</v>
      </c>
      <c r="BT218" s="63" t="s">
        <v>1666</v>
      </c>
    </row>
    <row r="219" spans="1:77" ht="44.25" customHeight="1" outlineLevel="1" x14ac:dyDescent="0.25">
      <c r="A219" s="106"/>
      <c r="B219" s="59">
        <v>9</v>
      </c>
      <c r="C219" s="104" t="s">
        <v>1478</v>
      </c>
      <c r="D219" s="104" t="s">
        <v>1479</v>
      </c>
      <c r="E219" s="104" t="s">
        <v>9</v>
      </c>
      <c r="F219" s="104">
        <v>542270</v>
      </c>
      <c r="G219" s="104">
        <v>509385.16499999998</v>
      </c>
      <c r="H219" s="104">
        <v>476094</v>
      </c>
      <c r="I219" s="104">
        <f t="shared" si="327"/>
        <v>33291.164999999979</v>
      </c>
      <c r="J219" s="104">
        <v>1</v>
      </c>
      <c r="K219" s="104">
        <v>1</v>
      </c>
      <c r="L219" s="104"/>
      <c r="M219" s="13">
        <v>111828</v>
      </c>
      <c r="N219" s="104">
        <f t="shared" si="334"/>
        <v>364265.55555555556</v>
      </c>
      <c r="O219" s="104">
        <v>357802</v>
      </c>
      <c r="P219" s="104">
        <v>1</v>
      </c>
      <c r="Q219" s="26">
        <v>357802</v>
      </c>
      <c r="R219" s="104">
        <v>1</v>
      </c>
      <c r="S219" s="104">
        <f t="shared" si="256"/>
        <v>29963</v>
      </c>
      <c r="T219" s="104"/>
      <c r="U219" s="26">
        <f t="shared" si="328"/>
        <v>327839</v>
      </c>
      <c r="V219" s="113">
        <v>1</v>
      </c>
      <c r="W219" s="13">
        <v>327839</v>
      </c>
      <c r="X219" s="113">
        <f t="shared" si="329"/>
        <v>1</v>
      </c>
      <c r="Y219" s="13"/>
      <c r="Z219" s="113"/>
      <c r="AA219" s="118">
        <v>0</v>
      </c>
      <c r="AB219" s="122"/>
      <c r="AC219" s="26">
        <f t="shared" si="260"/>
        <v>327839</v>
      </c>
      <c r="AD219" s="104">
        <v>1</v>
      </c>
      <c r="AE219" s="13">
        <v>327839</v>
      </c>
      <c r="AF219" s="104">
        <f t="shared" si="331"/>
        <v>1</v>
      </c>
      <c r="AG219" s="13"/>
      <c r="AH219" s="104"/>
      <c r="AI219" s="13">
        <f t="shared" si="335"/>
        <v>36426.555555555555</v>
      </c>
      <c r="AJ219" s="13">
        <v>1</v>
      </c>
      <c r="AK219" s="13"/>
      <c r="AL219" s="13"/>
      <c r="AM219" s="13"/>
      <c r="AN219" s="104">
        <f t="shared" si="235"/>
        <v>0</v>
      </c>
      <c r="AO219" s="13"/>
      <c r="AP219" s="13">
        <f t="shared" si="336"/>
        <v>0</v>
      </c>
      <c r="AQ219" s="13"/>
      <c r="AR219" s="34"/>
      <c r="AS219" s="10"/>
      <c r="AT219" s="19"/>
      <c r="AU219" s="10"/>
      <c r="AV219" s="19"/>
      <c r="AW219" s="10"/>
      <c r="AX219" s="19"/>
      <c r="AY219" s="19"/>
      <c r="AZ219" s="19"/>
      <c r="BA219" s="19"/>
      <c r="BB219" s="19"/>
      <c r="BC219" s="10">
        <f t="shared" si="236"/>
        <v>0</v>
      </c>
      <c r="BD219" s="19"/>
      <c r="BE219" s="26">
        <f t="shared" si="309"/>
        <v>0</v>
      </c>
      <c r="BF219" s="104">
        <f t="shared" si="309"/>
        <v>0</v>
      </c>
      <c r="BG219" s="13"/>
      <c r="BH219" s="104">
        <f t="shared" si="333"/>
        <v>0</v>
      </c>
      <c r="BI219" s="13"/>
      <c r="BJ219" s="104">
        <f t="shared" si="266"/>
        <v>0</v>
      </c>
      <c r="BK219" s="13">
        <f t="shared" ref="BK219:BK231" si="337">BE219/0.9*0.1</f>
        <v>0</v>
      </c>
      <c r="BL219" s="13"/>
      <c r="BM219" s="13"/>
      <c r="BN219" s="13" t="s">
        <v>1667</v>
      </c>
      <c r="BO219" s="13" t="s">
        <v>1668</v>
      </c>
      <c r="BP219" s="13" t="s">
        <v>1669</v>
      </c>
      <c r="BQ219" s="13"/>
      <c r="BR219" s="13" t="s">
        <v>1670</v>
      </c>
      <c r="BS219" s="13" t="s">
        <v>1671</v>
      </c>
      <c r="BT219" s="63" t="s">
        <v>1672</v>
      </c>
    </row>
    <row r="220" spans="1:77" ht="47.25" customHeight="1" outlineLevel="1" x14ac:dyDescent="0.25">
      <c r="A220" s="106"/>
      <c r="B220" s="59">
        <v>10</v>
      </c>
      <c r="C220" s="104" t="s">
        <v>1486</v>
      </c>
      <c r="D220" s="45" t="s">
        <v>1487</v>
      </c>
      <c r="E220" s="104" t="s">
        <v>9</v>
      </c>
      <c r="F220" s="104">
        <v>1270448</v>
      </c>
      <c r="G220" s="104">
        <v>1243937.5319999999</v>
      </c>
      <c r="H220" s="104">
        <v>1138886</v>
      </c>
      <c r="I220" s="104">
        <f t="shared" si="327"/>
        <v>105051.53199999989</v>
      </c>
      <c r="J220" s="104">
        <v>1</v>
      </c>
      <c r="K220" s="104">
        <v>1</v>
      </c>
      <c r="L220" s="104"/>
      <c r="M220" s="13">
        <v>938324</v>
      </c>
      <c r="N220" s="104">
        <f t="shared" si="334"/>
        <v>200562.22222222222</v>
      </c>
      <c r="O220" s="104">
        <v>275052</v>
      </c>
      <c r="P220" s="104">
        <v>1</v>
      </c>
      <c r="Q220" s="26">
        <v>275052</v>
      </c>
      <c r="R220" s="104">
        <v>1</v>
      </c>
      <c r="S220" s="104">
        <f t="shared" si="256"/>
        <v>94546</v>
      </c>
      <c r="T220" s="104"/>
      <c r="U220" s="26">
        <f t="shared" si="328"/>
        <v>180506</v>
      </c>
      <c r="V220" s="113">
        <v>1</v>
      </c>
      <c r="W220" s="13">
        <v>180506</v>
      </c>
      <c r="X220" s="113">
        <f t="shared" si="329"/>
        <v>1</v>
      </c>
      <c r="Y220" s="13"/>
      <c r="Z220" s="113"/>
      <c r="AA220" s="118">
        <v>0</v>
      </c>
      <c r="AB220" s="122"/>
      <c r="AC220" s="26">
        <f t="shared" si="260"/>
        <v>180506</v>
      </c>
      <c r="AD220" s="104">
        <v>1</v>
      </c>
      <c r="AE220" s="13">
        <v>180506</v>
      </c>
      <c r="AF220" s="104">
        <f t="shared" si="331"/>
        <v>1</v>
      </c>
      <c r="AG220" s="13"/>
      <c r="AH220" s="104"/>
      <c r="AI220" s="13">
        <f t="shared" si="335"/>
        <v>20056.222222222223</v>
      </c>
      <c r="AJ220" s="13">
        <v>1</v>
      </c>
      <c r="AK220" s="13"/>
      <c r="AL220" s="13"/>
      <c r="AM220" s="13"/>
      <c r="AN220" s="104">
        <f t="shared" si="235"/>
        <v>0</v>
      </c>
      <c r="AO220" s="13"/>
      <c r="AP220" s="13">
        <f t="shared" si="336"/>
        <v>0</v>
      </c>
      <c r="AQ220" s="13"/>
      <c r="AR220" s="34"/>
      <c r="AS220" s="10"/>
      <c r="AT220" s="19"/>
      <c r="AU220" s="10"/>
      <c r="AV220" s="19"/>
      <c r="AW220" s="10"/>
      <c r="AX220" s="19"/>
      <c r="AY220" s="19"/>
      <c r="AZ220" s="19"/>
      <c r="BA220" s="19"/>
      <c r="BB220" s="19"/>
      <c r="BC220" s="10">
        <f t="shared" si="236"/>
        <v>0</v>
      </c>
      <c r="BD220" s="19"/>
      <c r="BE220" s="26">
        <f t="shared" si="309"/>
        <v>0</v>
      </c>
      <c r="BF220" s="104">
        <f t="shared" si="309"/>
        <v>0</v>
      </c>
      <c r="BG220" s="13"/>
      <c r="BH220" s="104">
        <f t="shared" si="333"/>
        <v>0</v>
      </c>
      <c r="BI220" s="13"/>
      <c r="BJ220" s="104">
        <f t="shared" si="266"/>
        <v>0</v>
      </c>
      <c r="BK220" s="13">
        <f t="shared" si="337"/>
        <v>0</v>
      </c>
      <c r="BL220" s="13"/>
      <c r="BM220" s="13"/>
      <c r="BN220" s="13" t="s">
        <v>1673</v>
      </c>
      <c r="BO220" s="13" t="s">
        <v>1674</v>
      </c>
      <c r="BP220" s="13" t="s">
        <v>1675</v>
      </c>
      <c r="BQ220" s="13" t="s">
        <v>1676</v>
      </c>
      <c r="BR220" s="13" t="s">
        <v>1677</v>
      </c>
      <c r="BS220" s="13" t="s">
        <v>11</v>
      </c>
      <c r="BT220" s="63" t="s">
        <v>11</v>
      </c>
    </row>
    <row r="221" spans="1:77" ht="94.5" customHeight="1" outlineLevel="1" x14ac:dyDescent="0.25">
      <c r="A221" s="106"/>
      <c r="B221" s="59"/>
      <c r="C221" s="112" t="s">
        <v>2034</v>
      </c>
      <c r="D221" s="45" t="s">
        <v>2079</v>
      </c>
      <c r="E221" s="104" t="s">
        <v>9</v>
      </c>
      <c r="F221" s="104">
        <v>98434</v>
      </c>
      <c r="G221" s="104">
        <v>96857</v>
      </c>
      <c r="H221" s="104"/>
      <c r="I221" s="104"/>
      <c r="J221" s="104"/>
      <c r="K221" s="104"/>
      <c r="L221" s="104"/>
      <c r="M221" s="13">
        <v>92013</v>
      </c>
      <c r="N221" s="104">
        <f t="shared" si="334"/>
        <v>4843.333333333333</v>
      </c>
      <c r="O221" s="104"/>
      <c r="P221" s="104"/>
      <c r="Q221" s="26"/>
      <c r="R221" s="104"/>
      <c r="S221" s="104"/>
      <c r="T221" s="104"/>
      <c r="U221" s="26"/>
      <c r="V221" s="113"/>
      <c r="W221" s="113"/>
      <c r="X221" s="113"/>
      <c r="Y221" s="113"/>
      <c r="Z221" s="113"/>
      <c r="AA221" s="118"/>
      <c r="AB221" s="122">
        <v>4359</v>
      </c>
      <c r="AC221" s="26">
        <f t="shared" si="260"/>
        <v>4359</v>
      </c>
      <c r="AD221" s="104">
        <v>1</v>
      </c>
      <c r="AE221" s="13">
        <v>4359</v>
      </c>
      <c r="AF221" s="104">
        <f t="shared" si="331"/>
        <v>1</v>
      </c>
      <c r="AG221" s="13"/>
      <c r="AH221" s="104"/>
      <c r="AI221" s="13">
        <f t="shared" si="335"/>
        <v>484.33333333333331</v>
      </c>
      <c r="AJ221" s="13"/>
      <c r="AK221" s="13"/>
      <c r="AL221" s="13"/>
      <c r="AM221" s="13"/>
      <c r="AN221" s="104"/>
      <c r="AO221" s="13"/>
      <c r="AP221" s="13">
        <f t="shared" si="336"/>
        <v>-4359</v>
      </c>
      <c r="AQ221" s="13"/>
      <c r="AR221" s="34"/>
      <c r="AS221" s="10"/>
      <c r="AT221" s="19"/>
      <c r="AU221" s="10"/>
      <c r="AV221" s="19"/>
      <c r="AW221" s="10"/>
      <c r="AX221" s="19"/>
      <c r="AY221" s="19"/>
      <c r="AZ221" s="19"/>
      <c r="BA221" s="19"/>
      <c r="BB221" s="19"/>
      <c r="BC221" s="10"/>
      <c r="BD221" s="19"/>
      <c r="BE221" s="26">
        <f t="shared" si="309"/>
        <v>0</v>
      </c>
      <c r="BF221" s="104">
        <f t="shared" si="309"/>
        <v>0</v>
      </c>
      <c r="BG221" s="13"/>
      <c r="BH221" s="104">
        <f t="shared" si="333"/>
        <v>0</v>
      </c>
      <c r="BI221" s="13"/>
      <c r="BJ221" s="104">
        <f t="shared" si="266"/>
        <v>0</v>
      </c>
      <c r="BK221" s="13">
        <f t="shared" si="337"/>
        <v>0</v>
      </c>
      <c r="BL221" s="13"/>
      <c r="BM221" s="13"/>
      <c r="BN221" s="13" t="s">
        <v>2037</v>
      </c>
      <c r="BO221" s="13" t="s">
        <v>2038</v>
      </c>
      <c r="BP221" s="13" t="s">
        <v>2039</v>
      </c>
      <c r="BQ221" s="13" t="s">
        <v>2040</v>
      </c>
      <c r="BR221" s="13" t="s">
        <v>2041</v>
      </c>
      <c r="BS221" s="13" t="s">
        <v>2042</v>
      </c>
      <c r="BT221" s="63"/>
    </row>
    <row r="222" spans="1:77" ht="90.75" customHeight="1" outlineLevel="1" x14ac:dyDescent="0.25">
      <c r="A222" s="106"/>
      <c r="B222" s="59"/>
      <c r="C222" s="112" t="s">
        <v>2035</v>
      </c>
      <c r="D222" s="45" t="s">
        <v>2080</v>
      </c>
      <c r="E222" s="104" t="s">
        <v>9</v>
      </c>
      <c r="F222" s="104">
        <v>97307</v>
      </c>
      <c r="G222" s="104">
        <v>95882</v>
      </c>
      <c r="H222" s="104"/>
      <c r="I222" s="104"/>
      <c r="J222" s="104"/>
      <c r="K222" s="104"/>
      <c r="L222" s="104"/>
      <c r="M222" s="13">
        <v>91088</v>
      </c>
      <c r="N222" s="104">
        <f t="shared" si="334"/>
        <v>4794.4444444444443</v>
      </c>
      <c r="O222" s="104"/>
      <c r="P222" s="104"/>
      <c r="Q222" s="26"/>
      <c r="R222" s="104"/>
      <c r="S222" s="104"/>
      <c r="T222" s="104"/>
      <c r="U222" s="26"/>
      <c r="V222" s="113"/>
      <c r="W222" s="113"/>
      <c r="X222" s="113"/>
      <c r="Y222" s="113"/>
      <c r="Z222" s="113"/>
      <c r="AA222" s="118"/>
      <c r="AB222" s="122">
        <v>4315</v>
      </c>
      <c r="AC222" s="26">
        <f t="shared" si="260"/>
        <v>4315</v>
      </c>
      <c r="AD222" s="104">
        <v>1</v>
      </c>
      <c r="AE222" s="13">
        <v>4315</v>
      </c>
      <c r="AF222" s="104">
        <f t="shared" si="331"/>
        <v>1</v>
      </c>
      <c r="AG222" s="13"/>
      <c r="AH222" s="104"/>
      <c r="AI222" s="13">
        <f t="shared" si="335"/>
        <v>479.44444444444446</v>
      </c>
      <c r="AJ222" s="13"/>
      <c r="AK222" s="13"/>
      <c r="AL222" s="13"/>
      <c r="AM222" s="13"/>
      <c r="AN222" s="104"/>
      <c r="AO222" s="13"/>
      <c r="AP222" s="13">
        <f t="shared" si="336"/>
        <v>-4315</v>
      </c>
      <c r="AQ222" s="13"/>
      <c r="AR222" s="34"/>
      <c r="AS222" s="10"/>
      <c r="AT222" s="19"/>
      <c r="AU222" s="10"/>
      <c r="AV222" s="19"/>
      <c r="AW222" s="10"/>
      <c r="AX222" s="19"/>
      <c r="AY222" s="19"/>
      <c r="AZ222" s="19"/>
      <c r="BA222" s="19"/>
      <c r="BB222" s="19"/>
      <c r="BC222" s="10"/>
      <c r="BD222" s="19"/>
      <c r="BE222" s="26">
        <f t="shared" si="309"/>
        <v>0</v>
      </c>
      <c r="BF222" s="104">
        <f t="shared" si="309"/>
        <v>0</v>
      </c>
      <c r="BG222" s="13"/>
      <c r="BH222" s="104">
        <f t="shared" si="333"/>
        <v>0</v>
      </c>
      <c r="BI222" s="13"/>
      <c r="BJ222" s="104">
        <f t="shared" si="266"/>
        <v>0</v>
      </c>
      <c r="BK222" s="13">
        <f t="shared" si="337"/>
        <v>0</v>
      </c>
      <c r="BL222" s="13"/>
      <c r="BM222" s="13"/>
      <c r="BN222" s="13" t="s">
        <v>2043</v>
      </c>
      <c r="BO222" s="13" t="s">
        <v>2038</v>
      </c>
      <c r="BP222" s="13" t="s">
        <v>2044</v>
      </c>
      <c r="BQ222" s="13" t="s">
        <v>2045</v>
      </c>
      <c r="BR222" s="13" t="s">
        <v>2046</v>
      </c>
      <c r="BS222" s="13" t="s">
        <v>2042</v>
      </c>
      <c r="BT222" s="63"/>
    </row>
    <row r="223" spans="1:77" ht="90.75" customHeight="1" outlineLevel="1" x14ac:dyDescent="0.25">
      <c r="A223" s="106"/>
      <c r="B223" s="59"/>
      <c r="C223" s="112" t="s">
        <v>2036</v>
      </c>
      <c r="D223" s="45" t="s">
        <v>2081</v>
      </c>
      <c r="E223" s="104" t="s">
        <v>9</v>
      </c>
      <c r="F223" s="104">
        <v>97904</v>
      </c>
      <c r="G223" s="104">
        <v>96437</v>
      </c>
      <c r="H223" s="104"/>
      <c r="I223" s="104"/>
      <c r="J223" s="104"/>
      <c r="K223" s="104"/>
      <c r="L223" s="104"/>
      <c r="M223" s="13">
        <v>91614</v>
      </c>
      <c r="N223" s="104">
        <f t="shared" si="334"/>
        <v>4822.2222222222226</v>
      </c>
      <c r="O223" s="104"/>
      <c r="P223" s="104"/>
      <c r="Q223" s="26"/>
      <c r="R223" s="104"/>
      <c r="S223" s="104"/>
      <c r="T223" s="104"/>
      <c r="U223" s="26"/>
      <c r="V223" s="113"/>
      <c r="W223" s="113"/>
      <c r="X223" s="113"/>
      <c r="Y223" s="113"/>
      <c r="Z223" s="113"/>
      <c r="AA223" s="118"/>
      <c r="AB223" s="122">
        <v>4340</v>
      </c>
      <c r="AC223" s="26">
        <f t="shared" si="260"/>
        <v>4340</v>
      </c>
      <c r="AD223" s="104">
        <v>1</v>
      </c>
      <c r="AE223" s="13">
        <v>4340</v>
      </c>
      <c r="AF223" s="104">
        <f t="shared" si="331"/>
        <v>1</v>
      </c>
      <c r="AG223" s="13"/>
      <c r="AH223" s="104"/>
      <c r="AI223" s="13">
        <f t="shared" si="335"/>
        <v>482.22222222222217</v>
      </c>
      <c r="AJ223" s="13"/>
      <c r="AK223" s="13"/>
      <c r="AL223" s="13"/>
      <c r="AM223" s="13"/>
      <c r="AN223" s="104"/>
      <c r="AO223" s="13"/>
      <c r="AP223" s="13">
        <f t="shared" si="336"/>
        <v>-4340</v>
      </c>
      <c r="AQ223" s="13"/>
      <c r="AR223" s="34"/>
      <c r="AS223" s="10"/>
      <c r="AT223" s="19"/>
      <c r="AU223" s="10"/>
      <c r="AV223" s="19"/>
      <c r="AW223" s="10"/>
      <c r="AX223" s="19"/>
      <c r="AY223" s="19"/>
      <c r="AZ223" s="19"/>
      <c r="BA223" s="19"/>
      <c r="BB223" s="19"/>
      <c r="BC223" s="10"/>
      <c r="BD223" s="19"/>
      <c r="BE223" s="26">
        <f t="shared" si="309"/>
        <v>0</v>
      </c>
      <c r="BF223" s="104">
        <f t="shared" si="309"/>
        <v>0</v>
      </c>
      <c r="BG223" s="13"/>
      <c r="BH223" s="104">
        <f t="shared" si="333"/>
        <v>0</v>
      </c>
      <c r="BI223" s="13"/>
      <c r="BJ223" s="104">
        <f t="shared" si="266"/>
        <v>0</v>
      </c>
      <c r="BK223" s="13">
        <f t="shared" si="337"/>
        <v>0</v>
      </c>
      <c r="BL223" s="13"/>
      <c r="BM223" s="13"/>
      <c r="BN223" s="13" t="s">
        <v>2047</v>
      </c>
      <c r="BO223" s="13" t="s">
        <v>2038</v>
      </c>
      <c r="BP223" s="13" t="s">
        <v>2048</v>
      </c>
      <c r="BQ223" s="13" t="s">
        <v>2049</v>
      </c>
      <c r="BR223" s="13" t="s">
        <v>2050</v>
      </c>
      <c r="BS223" s="13" t="s">
        <v>2042</v>
      </c>
      <c r="BT223" s="63"/>
    </row>
    <row r="224" spans="1:77" ht="63" customHeight="1" outlineLevel="1" x14ac:dyDescent="0.25">
      <c r="A224" s="106"/>
      <c r="B224" s="59">
        <v>11</v>
      </c>
      <c r="C224" s="104" t="s">
        <v>52</v>
      </c>
      <c r="D224" s="104" t="s">
        <v>1196</v>
      </c>
      <c r="E224" s="104" t="s">
        <v>324</v>
      </c>
      <c r="F224" s="13">
        <v>85633.971999999994</v>
      </c>
      <c r="G224" s="13">
        <v>79452.52</v>
      </c>
      <c r="H224" s="13"/>
      <c r="I224" s="13"/>
      <c r="J224" s="13"/>
      <c r="K224" s="13">
        <v>1</v>
      </c>
      <c r="L224" s="13">
        <v>1</v>
      </c>
      <c r="M224" s="13">
        <v>0</v>
      </c>
      <c r="N224" s="104">
        <f t="shared" si="334"/>
        <v>0</v>
      </c>
      <c r="O224" s="104">
        <v>71507</v>
      </c>
      <c r="P224" s="104">
        <v>1</v>
      </c>
      <c r="Q224" s="26">
        <v>71508</v>
      </c>
      <c r="R224" s="104">
        <v>1</v>
      </c>
      <c r="S224" s="104">
        <f t="shared" ref="S224:S287" si="338">Q224-AC224</f>
        <v>71508</v>
      </c>
      <c r="T224" s="104"/>
      <c r="U224" s="26">
        <f t="shared" ref="U224:V231" si="339">W224+Y224</f>
        <v>71508</v>
      </c>
      <c r="V224" s="113">
        <f t="shared" si="339"/>
        <v>1</v>
      </c>
      <c r="W224" s="13"/>
      <c r="X224" s="113">
        <f t="shared" ref="X224:X231" si="340">IF(W224,1,0)</f>
        <v>0</v>
      </c>
      <c r="Y224" s="13">
        <v>71508</v>
      </c>
      <c r="Z224" s="113">
        <f t="shared" ref="Z224:Z231" si="341">IF(Y224,1,0)</f>
        <v>1</v>
      </c>
      <c r="AA224" s="118">
        <v>-71508</v>
      </c>
      <c r="AB224" s="122"/>
      <c r="AC224" s="26">
        <f t="shared" si="260"/>
        <v>0</v>
      </c>
      <c r="AD224" s="104">
        <f t="shared" si="260"/>
        <v>0</v>
      </c>
      <c r="AE224" s="13"/>
      <c r="AF224" s="104">
        <f t="shared" si="331"/>
        <v>0</v>
      </c>
      <c r="AG224" s="13"/>
      <c r="AH224" s="104">
        <f t="shared" si="332"/>
        <v>0</v>
      </c>
      <c r="AI224" s="13">
        <f t="shared" si="335"/>
        <v>0</v>
      </c>
      <c r="AJ224" s="13">
        <v>1</v>
      </c>
      <c r="AK224" s="13"/>
      <c r="AL224" s="13">
        <v>0</v>
      </c>
      <c r="AM224" s="13">
        <v>0</v>
      </c>
      <c r="AN224" s="104">
        <f t="shared" ref="AN224:AN287" si="342">AL224-AR224</f>
        <v>-71508</v>
      </c>
      <c r="AO224" s="13"/>
      <c r="AP224" s="13">
        <f t="shared" si="336"/>
        <v>71508</v>
      </c>
      <c r="AQ224" s="13"/>
      <c r="AR224" s="34">
        <f t="shared" si="263"/>
        <v>71508</v>
      </c>
      <c r="AS224" s="10">
        <f t="shared" si="263"/>
        <v>1</v>
      </c>
      <c r="AT224" s="19"/>
      <c r="AU224" s="10">
        <f t="shared" si="274"/>
        <v>0</v>
      </c>
      <c r="AV224" s="19">
        <f>71508</f>
        <v>71508</v>
      </c>
      <c r="AW224" s="10">
        <f t="shared" si="275"/>
        <v>1</v>
      </c>
      <c r="AX224" s="19">
        <f>AR224/0.9*0.1</f>
        <v>7945.333333333333</v>
      </c>
      <c r="AY224" s="19"/>
      <c r="AZ224" s="19"/>
      <c r="BA224" s="19">
        <v>0</v>
      </c>
      <c r="BB224" s="19">
        <v>0</v>
      </c>
      <c r="BC224" s="10">
        <f t="shared" ref="BC224:BC287" si="343">BA224-BE224</f>
        <v>0</v>
      </c>
      <c r="BD224" s="19"/>
      <c r="BE224" s="26">
        <f t="shared" si="309"/>
        <v>0</v>
      </c>
      <c r="BF224" s="104">
        <f t="shared" si="309"/>
        <v>0</v>
      </c>
      <c r="BG224" s="13"/>
      <c r="BH224" s="104">
        <f t="shared" si="333"/>
        <v>0</v>
      </c>
      <c r="BI224" s="13"/>
      <c r="BJ224" s="104">
        <f t="shared" si="266"/>
        <v>0</v>
      </c>
      <c r="BK224" s="13">
        <f t="shared" si="337"/>
        <v>0</v>
      </c>
      <c r="BL224" s="13"/>
      <c r="BM224" s="13"/>
      <c r="BN224" s="13" t="s">
        <v>1279</v>
      </c>
      <c r="BO224" s="13" t="s">
        <v>51</v>
      </c>
      <c r="BP224" s="13" t="s">
        <v>1197</v>
      </c>
      <c r="BQ224" s="13" t="s">
        <v>1198</v>
      </c>
      <c r="BR224" s="13" t="s">
        <v>1199</v>
      </c>
      <c r="BS224" s="13" t="s">
        <v>50</v>
      </c>
      <c r="BT224" s="63" t="s">
        <v>1031</v>
      </c>
    </row>
    <row r="225" spans="1:77" s="3" customFormat="1" ht="59.25" customHeight="1" outlineLevel="1" x14ac:dyDescent="0.25">
      <c r="A225" s="106"/>
      <c r="B225" s="59">
        <v>12</v>
      </c>
      <c r="C225" s="104" t="s">
        <v>1281</v>
      </c>
      <c r="D225" s="104" t="s">
        <v>1200</v>
      </c>
      <c r="E225" s="104" t="s">
        <v>324</v>
      </c>
      <c r="F225" s="13">
        <v>77355.320000000007</v>
      </c>
      <c r="G225" s="13">
        <v>71954.52</v>
      </c>
      <c r="H225" s="13"/>
      <c r="I225" s="13"/>
      <c r="J225" s="13"/>
      <c r="K225" s="13">
        <v>1</v>
      </c>
      <c r="L225" s="13">
        <v>1</v>
      </c>
      <c r="M225" s="13">
        <v>0</v>
      </c>
      <c r="N225" s="104">
        <f t="shared" si="334"/>
        <v>0</v>
      </c>
      <c r="O225" s="104">
        <v>64759</v>
      </c>
      <c r="P225" s="104">
        <v>1</v>
      </c>
      <c r="Q225" s="26">
        <v>64760</v>
      </c>
      <c r="R225" s="104">
        <v>1</v>
      </c>
      <c r="S225" s="104">
        <f t="shared" si="338"/>
        <v>64760</v>
      </c>
      <c r="T225" s="104"/>
      <c r="U225" s="26">
        <f t="shared" si="339"/>
        <v>64760</v>
      </c>
      <c r="V225" s="113">
        <f t="shared" si="339"/>
        <v>1</v>
      </c>
      <c r="W225" s="13"/>
      <c r="X225" s="113">
        <f t="shared" si="340"/>
        <v>0</v>
      </c>
      <c r="Y225" s="13">
        <v>64760</v>
      </c>
      <c r="Z225" s="113">
        <f t="shared" si="341"/>
        <v>1</v>
      </c>
      <c r="AA225" s="118">
        <v>-64760</v>
      </c>
      <c r="AB225" s="122"/>
      <c r="AC225" s="26">
        <f t="shared" si="260"/>
        <v>0</v>
      </c>
      <c r="AD225" s="104">
        <f t="shared" si="260"/>
        <v>0</v>
      </c>
      <c r="AE225" s="13"/>
      <c r="AF225" s="104">
        <f t="shared" si="331"/>
        <v>0</v>
      </c>
      <c r="AG225" s="13"/>
      <c r="AH225" s="104">
        <f t="shared" si="332"/>
        <v>0</v>
      </c>
      <c r="AI225" s="13">
        <f t="shared" si="335"/>
        <v>0</v>
      </c>
      <c r="AJ225" s="13">
        <v>1</v>
      </c>
      <c r="AK225" s="13"/>
      <c r="AL225" s="13">
        <v>0</v>
      </c>
      <c r="AM225" s="13">
        <v>0</v>
      </c>
      <c r="AN225" s="104">
        <f t="shared" si="342"/>
        <v>-64760</v>
      </c>
      <c r="AO225" s="13"/>
      <c r="AP225" s="13">
        <f t="shared" si="336"/>
        <v>64760</v>
      </c>
      <c r="AQ225" s="13"/>
      <c r="AR225" s="34">
        <f t="shared" si="263"/>
        <v>64760</v>
      </c>
      <c r="AS225" s="10">
        <f t="shared" si="263"/>
        <v>1</v>
      </c>
      <c r="AT225" s="19"/>
      <c r="AU225" s="10">
        <f t="shared" si="274"/>
        <v>0</v>
      </c>
      <c r="AV225" s="19">
        <f>64760</f>
        <v>64760</v>
      </c>
      <c r="AW225" s="10">
        <f t="shared" si="275"/>
        <v>1</v>
      </c>
      <c r="AX225" s="19">
        <f t="shared" ref="AX225:AX231" si="344">AR225/0.9*0.1</f>
        <v>7195.5555555555547</v>
      </c>
      <c r="AY225" s="19"/>
      <c r="AZ225" s="19"/>
      <c r="BA225" s="19">
        <v>0</v>
      </c>
      <c r="BB225" s="19">
        <v>0</v>
      </c>
      <c r="BC225" s="10">
        <f t="shared" si="343"/>
        <v>0</v>
      </c>
      <c r="BD225" s="19"/>
      <c r="BE225" s="26">
        <f t="shared" si="309"/>
        <v>0</v>
      </c>
      <c r="BF225" s="104">
        <f t="shared" si="309"/>
        <v>0</v>
      </c>
      <c r="BG225" s="13"/>
      <c r="BH225" s="104">
        <f t="shared" si="333"/>
        <v>0</v>
      </c>
      <c r="BI225" s="13"/>
      <c r="BJ225" s="104">
        <f t="shared" si="266"/>
        <v>0</v>
      </c>
      <c r="BK225" s="13">
        <f t="shared" si="337"/>
        <v>0</v>
      </c>
      <c r="BL225" s="13"/>
      <c r="BM225" s="13"/>
      <c r="BN225" s="13" t="s">
        <v>53</v>
      </c>
      <c r="BO225" s="13" t="s">
        <v>1678</v>
      </c>
      <c r="BP225" s="13" t="s">
        <v>54</v>
      </c>
      <c r="BQ225" s="13" t="s">
        <v>1280</v>
      </c>
      <c r="BR225" s="13" t="s">
        <v>1201</v>
      </c>
      <c r="BS225" s="13" t="s">
        <v>50</v>
      </c>
      <c r="BT225" s="63" t="s">
        <v>1031</v>
      </c>
    </row>
    <row r="226" spans="1:77" s="3" customFormat="1" ht="54.75" customHeight="1" outlineLevel="1" x14ac:dyDescent="0.25">
      <c r="A226" s="106"/>
      <c r="B226" s="59">
        <v>13</v>
      </c>
      <c r="C226" s="104" t="s">
        <v>55</v>
      </c>
      <c r="D226" s="104" t="s">
        <v>56</v>
      </c>
      <c r="E226" s="104" t="s">
        <v>324</v>
      </c>
      <c r="F226" s="13">
        <v>82190.164999999994</v>
      </c>
      <c r="G226" s="13">
        <v>77640.98</v>
      </c>
      <c r="H226" s="13"/>
      <c r="I226" s="13"/>
      <c r="J226" s="13"/>
      <c r="K226" s="13">
        <v>1</v>
      </c>
      <c r="L226" s="13">
        <v>1</v>
      </c>
      <c r="M226" s="13">
        <v>0</v>
      </c>
      <c r="N226" s="104">
        <f t="shared" si="334"/>
        <v>0</v>
      </c>
      <c r="O226" s="104">
        <v>69877</v>
      </c>
      <c r="P226" s="104">
        <v>1</v>
      </c>
      <c r="Q226" s="26">
        <v>69877</v>
      </c>
      <c r="R226" s="104">
        <v>1</v>
      </c>
      <c r="S226" s="104">
        <f t="shared" si="338"/>
        <v>69877</v>
      </c>
      <c r="T226" s="104"/>
      <c r="U226" s="26">
        <f t="shared" si="339"/>
        <v>69877</v>
      </c>
      <c r="V226" s="113">
        <f t="shared" si="339"/>
        <v>1</v>
      </c>
      <c r="W226" s="13"/>
      <c r="X226" s="113">
        <f t="shared" si="340"/>
        <v>0</v>
      </c>
      <c r="Y226" s="13">
        <v>69877</v>
      </c>
      <c r="Z226" s="113">
        <f t="shared" si="341"/>
        <v>1</v>
      </c>
      <c r="AA226" s="118">
        <v>-69877</v>
      </c>
      <c r="AB226" s="122"/>
      <c r="AC226" s="26">
        <f t="shared" si="260"/>
        <v>0</v>
      </c>
      <c r="AD226" s="104">
        <f t="shared" si="260"/>
        <v>0</v>
      </c>
      <c r="AE226" s="13"/>
      <c r="AF226" s="104">
        <f t="shared" si="331"/>
        <v>0</v>
      </c>
      <c r="AG226" s="13"/>
      <c r="AH226" s="104">
        <f t="shared" si="332"/>
        <v>0</v>
      </c>
      <c r="AI226" s="13">
        <f t="shared" si="335"/>
        <v>0</v>
      </c>
      <c r="AJ226" s="13">
        <v>1</v>
      </c>
      <c r="AK226" s="13"/>
      <c r="AL226" s="13">
        <v>0</v>
      </c>
      <c r="AM226" s="13">
        <v>0</v>
      </c>
      <c r="AN226" s="104">
        <f t="shared" si="342"/>
        <v>-69877</v>
      </c>
      <c r="AO226" s="13"/>
      <c r="AP226" s="13">
        <f t="shared" si="336"/>
        <v>69877</v>
      </c>
      <c r="AQ226" s="13"/>
      <c r="AR226" s="34">
        <f t="shared" si="263"/>
        <v>69877</v>
      </c>
      <c r="AS226" s="10">
        <f t="shared" si="263"/>
        <v>1</v>
      </c>
      <c r="AT226" s="19"/>
      <c r="AU226" s="10">
        <f t="shared" si="274"/>
        <v>0</v>
      </c>
      <c r="AV226" s="19">
        <f>69877</f>
        <v>69877</v>
      </c>
      <c r="AW226" s="10">
        <f t="shared" si="275"/>
        <v>1</v>
      </c>
      <c r="AX226" s="19">
        <f t="shared" si="344"/>
        <v>7764.1111111111113</v>
      </c>
      <c r="AY226" s="19"/>
      <c r="AZ226" s="19"/>
      <c r="BA226" s="19">
        <v>0</v>
      </c>
      <c r="BB226" s="19">
        <v>0</v>
      </c>
      <c r="BC226" s="10">
        <f t="shared" si="343"/>
        <v>0</v>
      </c>
      <c r="BD226" s="19"/>
      <c r="BE226" s="26">
        <f t="shared" si="309"/>
        <v>0</v>
      </c>
      <c r="BF226" s="104">
        <f t="shared" si="309"/>
        <v>0</v>
      </c>
      <c r="BG226" s="13"/>
      <c r="BH226" s="104">
        <f t="shared" si="333"/>
        <v>0</v>
      </c>
      <c r="BI226" s="13"/>
      <c r="BJ226" s="104">
        <f t="shared" si="266"/>
        <v>0</v>
      </c>
      <c r="BK226" s="13">
        <f t="shared" si="337"/>
        <v>0</v>
      </c>
      <c r="BL226" s="13"/>
      <c r="BM226" s="13"/>
      <c r="BN226" s="13" t="s">
        <v>57</v>
      </c>
      <c r="BO226" s="13" t="s">
        <v>1678</v>
      </c>
      <c r="BP226" s="13" t="s">
        <v>1202</v>
      </c>
      <c r="BQ226" s="13" t="s">
        <v>1203</v>
      </c>
      <c r="BR226" s="13" t="s">
        <v>1204</v>
      </c>
      <c r="BS226" s="13" t="s">
        <v>100</v>
      </c>
      <c r="BT226" s="63" t="s">
        <v>1031</v>
      </c>
    </row>
    <row r="227" spans="1:77" s="3" customFormat="1" ht="57" customHeight="1" outlineLevel="1" x14ac:dyDescent="0.25">
      <c r="A227" s="106"/>
      <c r="B227" s="59">
        <v>14</v>
      </c>
      <c r="C227" s="104" t="s">
        <v>58</v>
      </c>
      <c r="D227" s="104" t="s">
        <v>59</v>
      </c>
      <c r="E227" s="104">
        <v>2015</v>
      </c>
      <c r="F227" s="13">
        <v>109658</v>
      </c>
      <c r="G227" s="13">
        <v>103177.155</v>
      </c>
      <c r="H227" s="13"/>
      <c r="I227" s="13"/>
      <c r="J227" s="13"/>
      <c r="K227" s="13">
        <v>1</v>
      </c>
      <c r="L227" s="13">
        <v>1</v>
      </c>
      <c r="M227" s="13">
        <v>0</v>
      </c>
      <c r="N227" s="104">
        <f t="shared" si="334"/>
        <v>0</v>
      </c>
      <c r="O227" s="104">
        <v>92859</v>
      </c>
      <c r="P227" s="104">
        <v>1</v>
      </c>
      <c r="Q227" s="26">
        <v>92859</v>
      </c>
      <c r="R227" s="104">
        <v>1</v>
      </c>
      <c r="S227" s="104">
        <f t="shared" si="338"/>
        <v>92859</v>
      </c>
      <c r="T227" s="104"/>
      <c r="U227" s="26">
        <f t="shared" si="339"/>
        <v>92859</v>
      </c>
      <c r="V227" s="113">
        <f t="shared" si="339"/>
        <v>1</v>
      </c>
      <c r="W227" s="13"/>
      <c r="X227" s="113">
        <f t="shared" si="340"/>
        <v>0</v>
      </c>
      <c r="Y227" s="13">
        <v>92859</v>
      </c>
      <c r="Z227" s="113">
        <f t="shared" si="341"/>
        <v>1</v>
      </c>
      <c r="AA227" s="118">
        <v>-92859</v>
      </c>
      <c r="AB227" s="122"/>
      <c r="AC227" s="26">
        <f t="shared" si="260"/>
        <v>0</v>
      </c>
      <c r="AD227" s="104">
        <f t="shared" si="260"/>
        <v>0</v>
      </c>
      <c r="AE227" s="13"/>
      <c r="AF227" s="104">
        <f t="shared" si="331"/>
        <v>0</v>
      </c>
      <c r="AG227" s="13"/>
      <c r="AH227" s="104">
        <f t="shared" si="332"/>
        <v>0</v>
      </c>
      <c r="AI227" s="13">
        <f t="shared" si="335"/>
        <v>0</v>
      </c>
      <c r="AJ227" s="13">
        <v>1</v>
      </c>
      <c r="AK227" s="13"/>
      <c r="AL227" s="13">
        <v>0</v>
      </c>
      <c r="AM227" s="13">
        <v>0</v>
      </c>
      <c r="AN227" s="104">
        <f t="shared" si="342"/>
        <v>-92859</v>
      </c>
      <c r="AO227" s="13"/>
      <c r="AP227" s="13">
        <f t="shared" si="336"/>
        <v>92859</v>
      </c>
      <c r="AQ227" s="13"/>
      <c r="AR227" s="34">
        <f t="shared" ref="AR227:AS278" si="345">AT227+AV227</f>
        <v>92859</v>
      </c>
      <c r="AS227" s="10">
        <f t="shared" si="345"/>
        <v>1</v>
      </c>
      <c r="AT227" s="19"/>
      <c r="AU227" s="10">
        <f t="shared" si="274"/>
        <v>0</v>
      </c>
      <c r="AV227" s="19">
        <f>92859</f>
        <v>92859</v>
      </c>
      <c r="AW227" s="10">
        <f t="shared" si="275"/>
        <v>1</v>
      </c>
      <c r="AX227" s="19">
        <f t="shared" si="344"/>
        <v>10317.666666666666</v>
      </c>
      <c r="AY227" s="19"/>
      <c r="AZ227" s="19"/>
      <c r="BA227" s="19">
        <v>0</v>
      </c>
      <c r="BB227" s="19">
        <v>0</v>
      </c>
      <c r="BC227" s="10">
        <f t="shared" si="343"/>
        <v>0</v>
      </c>
      <c r="BD227" s="19"/>
      <c r="BE227" s="26">
        <f t="shared" si="309"/>
        <v>0</v>
      </c>
      <c r="BF227" s="104">
        <f t="shared" si="309"/>
        <v>0</v>
      </c>
      <c r="BG227" s="13"/>
      <c r="BH227" s="104">
        <f t="shared" si="333"/>
        <v>0</v>
      </c>
      <c r="BI227" s="13"/>
      <c r="BJ227" s="104">
        <f t="shared" si="266"/>
        <v>0</v>
      </c>
      <c r="BK227" s="13">
        <f t="shared" si="337"/>
        <v>0</v>
      </c>
      <c r="BL227" s="13"/>
      <c r="BM227" s="13"/>
      <c r="BN227" s="13" t="s">
        <v>60</v>
      </c>
      <c r="BO227" s="13" t="s">
        <v>1678</v>
      </c>
      <c r="BP227" s="13" t="s">
        <v>101</v>
      </c>
      <c r="BQ227" s="13" t="s">
        <v>1205</v>
      </c>
      <c r="BR227" s="13" t="s">
        <v>102</v>
      </c>
      <c r="BS227" s="13" t="s">
        <v>100</v>
      </c>
      <c r="BT227" s="63" t="s">
        <v>1031</v>
      </c>
    </row>
    <row r="228" spans="1:77" s="3" customFormat="1" ht="55.5" customHeight="1" outlineLevel="1" x14ac:dyDescent="0.25">
      <c r="A228" s="106"/>
      <c r="B228" s="59">
        <v>15</v>
      </c>
      <c r="C228" s="104" t="s">
        <v>103</v>
      </c>
      <c r="D228" s="104" t="s">
        <v>104</v>
      </c>
      <c r="E228" s="104" t="s">
        <v>324</v>
      </c>
      <c r="F228" s="13">
        <v>126832</v>
      </c>
      <c r="G228" s="13">
        <v>110259</v>
      </c>
      <c r="H228" s="13"/>
      <c r="I228" s="13"/>
      <c r="J228" s="13"/>
      <c r="K228" s="13">
        <v>1</v>
      </c>
      <c r="L228" s="13">
        <v>1</v>
      </c>
      <c r="M228" s="13">
        <v>0</v>
      </c>
      <c r="N228" s="104">
        <f t="shared" si="334"/>
        <v>0</v>
      </c>
      <c r="O228" s="104">
        <v>99233</v>
      </c>
      <c r="P228" s="104">
        <v>1</v>
      </c>
      <c r="Q228" s="26">
        <v>99233</v>
      </c>
      <c r="R228" s="104">
        <v>1</v>
      </c>
      <c r="S228" s="104">
        <f t="shared" si="338"/>
        <v>99233</v>
      </c>
      <c r="T228" s="104"/>
      <c r="U228" s="26">
        <f t="shared" si="339"/>
        <v>99233</v>
      </c>
      <c r="V228" s="113">
        <f t="shared" si="339"/>
        <v>1</v>
      </c>
      <c r="W228" s="13"/>
      <c r="X228" s="113">
        <f t="shared" si="340"/>
        <v>0</v>
      </c>
      <c r="Y228" s="13">
        <v>99233</v>
      </c>
      <c r="Z228" s="113">
        <f t="shared" si="341"/>
        <v>1</v>
      </c>
      <c r="AA228" s="118">
        <v>-99233</v>
      </c>
      <c r="AB228" s="122"/>
      <c r="AC228" s="26">
        <f t="shared" ref="AC228:AD279" si="346">AE228+AG228</f>
        <v>0</v>
      </c>
      <c r="AD228" s="104">
        <f t="shared" si="346"/>
        <v>0</v>
      </c>
      <c r="AE228" s="13"/>
      <c r="AF228" s="104">
        <f t="shared" si="331"/>
        <v>0</v>
      </c>
      <c r="AG228" s="13"/>
      <c r="AH228" s="104">
        <f t="shared" si="332"/>
        <v>0</v>
      </c>
      <c r="AI228" s="13">
        <f t="shared" si="335"/>
        <v>0</v>
      </c>
      <c r="AJ228" s="13">
        <v>1</v>
      </c>
      <c r="AK228" s="13"/>
      <c r="AL228" s="13">
        <v>0</v>
      </c>
      <c r="AM228" s="13">
        <v>0</v>
      </c>
      <c r="AN228" s="104">
        <f t="shared" si="342"/>
        <v>-99233</v>
      </c>
      <c r="AO228" s="13"/>
      <c r="AP228" s="13">
        <f t="shared" si="336"/>
        <v>99233</v>
      </c>
      <c r="AQ228" s="13"/>
      <c r="AR228" s="34">
        <f t="shared" si="345"/>
        <v>99233</v>
      </c>
      <c r="AS228" s="10">
        <f t="shared" si="345"/>
        <v>1</v>
      </c>
      <c r="AT228" s="19"/>
      <c r="AU228" s="10">
        <f t="shared" si="274"/>
        <v>0</v>
      </c>
      <c r="AV228" s="19">
        <f>99233</f>
        <v>99233</v>
      </c>
      <c r="AW228" s="10">
        <f t="shared" si="275"/>
        <v>1</v>
      </c>
      <c r="AX228" s="19">
        <f t="shared" si="344"/>
        <v>11025.888888888891</v>
      </c>
      <c r="AY228" s="19"/>
      <c r="AZ228" s="19"/>
      <c r="BA228" s="19">
        <v>0</v>
      </c>
      <c r="BB228" s="19">
        <v>0</v>
      </c>
      <c r="BC228" s="10">
        <f t="shared" si="343"/>
        <v>0</v>
      </c>
      <c r="BD228" s="19"/>
      <c r="BE228" s="26">
        <f t="shared" si="309"/>
        <v>0</v>
      </c>
      <c r="BF228" s="104">
        <f t="shared" si="309"/>
        <v>0</v>
      </c>
      <c r="BG228" s="13"/>
      <c r="BH228" s="104">
        <f t="shared" si="333"/>
        <v>0</v>
      </c>
      <c r="BI228" s="13"/>
      <c r="BJ228" s="104">
        <f t="shared" si="266"/>
        <v>0</v>
      </c>
      <c r="BK228" s="13">
        <f t="shared" si="337"/>
        <v>0</v>
      </c>
      <c r="BL228" s="13"/>
      <c r="BM228" s="13"/>
      <c r="BN228" s="41" t="s">
        <v>1143</v>
      </c>
      <c r="BO228" s="13" t="s">
        <v>1678</v>
      </c>
      <c r="BP228" s="13" t="s">
        <v>105</v>
      </c>
      <c r="BQ228" s="13" t="s">
        <v>106</v>
      </c>
      <c r="BR228" s="13" t="s">
        <v>107</v>
      </c>
      <c r="BS228" s="13" t="s">
        <v>100</v>
      </c>
      <c r="BT228" s="63" t="s">
        <v>1031</v>
      </c>
    </row>
    <row r="229" spans="1:77" s="3" customFormat="1" ht="56.25" customHeight="1" outlineLevel="1" x14ac:dyDescent="0.25">
      <c r="A229" s="106"/>
      <c r="B229" s="59">
        <v>16</v>
      </c>
      <c r="C229" s="104" t="s">
        <v>108</v>
      </c>
      <c r="D229" s="104" t="s">
        <v>109</v>
      </c>
      <c r="E229" s="104" t="s">
        <v>324</v>
      </c>
      <c r="F229" s="13">
        <v>78836</v>
      </c>
      <c r="G229" s="13">
        <v>72816.100000000006</v>
      </c>
      <c r="H229" s="13"/>
      <c r="I229" s="13"/>
      <c r="J229" s="13"/>
      <c r="K229" s="13">
        <v>1</v>
      </c>
      <c r="L229" s="13">
        <v>1</v>
      </c>
      <c r="M229" s="13">
        <v>0</v>
      </c>
      <c r="N229" s="104">
        <f t="shared" si="334"/>
        <v>0</v>
      </c>
      <c r="O229" s="104">
        <v>65534</v>
      </c>
      <c r="P229" s="104">
        <v>1</v>
      </c>
      <c r="Q229" s="26">
        <v>65534</v>
      </c>
      <c r="R229" s="104">
        <v>1</v>
      </c>
      <c r="S229" s="104">
        <f t="shared" si="338"/>
        <v>65534</v>
      </c>
      <c r="T229" s="104"/>
      <c r="U229" s="26">
        <f t="shared" si="339"/>
        <v>65534</v>
      </c>
      <c r="V229" s="113">
        <f t="shared" si="339"/>
        <v>1</v>
      </c>
      <c r="W229" s="13"/>
      <c r="X229" s="113">
        <f t="shared" si="340"/>
        <v>0</v>
      </c>
      <c r="Y229" s="13">
        <v>65534</v>
      </c>
      <c r="Z229" s="113">
        <f t="shared" si="341"/>
        <v>1</v>
      </c>
      <c r="AA229" s="118">
        <v>-65534</v>
      </c>
      <c r="AB229" s="122"/>
      <c r="AC229" s="26">
        <f t="shared" si="346"/>
        <v>0</v>
      </c>
      <c r="AD229" s="104">
        <f t="shared" si="346"/>
        <v>0</v>
      </c>
      <c r="AE229" s="13"/>
      <c r="AF229" s="104">
        <f t="shared" si="331"/>
        <v>0</v>
      </c>
      <c r="AG229" s="13"/>
      <c r="AH229" s="104">
        <f t="shared" si="332"/>
        <v>0</v>
      </c>
      <c r="AI229" s="13">
        <f t="shared" si="335"/>
        <v>0</v>
      </c>
      <c r="AJ229" s="13">
        <v>1</v>
      </c>
      <c r="AK229" s="13"/>
      <c r="AL229" s="13">
        <v>0</v>
      </c>
      <c r="AM229" s="13">
        <v>0</v>
      </c>
      <c r="AN229" s="104">
        <f t="shared" si="342"/>
        <v>-65534</v>
      </c>
      <c r="AO229" s="13"/>
      <c r="AP229" s="13">
        <f t="shared" si="336"/>
        <v>65534</v>
      </c>
      <c r="AQ229" s="13"/>
      <c r="AR229" s="34">
        <f t="shared" si="345"/>
        <v>65534</v>
      </c>
      <c r="AS229" s="10">
        <f t="shared" si="345"/>
        <v>1</v>
      </c>
      <c r="AT229" s="19"/>
      <c r="AU229" s="10">
        <f t="shared" si="274"/>
        <v>0</v>
      </c>
      <c r="AV229" s="19">
        <f>65534</f>
        <v>65534</v>
      </c>
      <c r="AW229" s="10">
        <f t="shared" si="275"/>
        <v>1</v>
      </c>
      <c r="AX229" s="19">
        <f t="shared" si="344"/>
        <v>7281.5555555555547</v>
      </c>
      <c r="AY229" s="19"/>
      <c r="AZ229" s="19"/>
      <c r="BA229" s="19">
        <v>0</v>
      </c>
      <c r="BB229" s="19">
        <v>0</v>
      </c>
      <c r="BC229" s="10">
        <f t="shared" si="343"/>
        <v>0</v>
      </c>
      <c r="BD229" s="19"/>
      <c r="BE229" s="26">
        <f t="shared" si="309"/>
        <v>0</v>
      </c>
      <c r="BF229" s="104">
        <f t="shared" si="309"/>
        <v>0</v>
      </c>
      <c r="BG229" s="13"/>
      <c r="BH229" s="104">
        <f t="shared" si="333"/>
        <v>0</v>
      </c>
      <c r="BI229" s="13"/>
      <c r="BJ229" s="104">
        <f t="shared" si="266"/>
        <v>0</v>
      </c>
      <c r="BK229" s="13">
        <f t="shared" si="337"/>
        <v>0</v>
      </c>
      <c r="BL229" s="13"/>
      <c r="BM229" s="13"/>
      <c r="BN229" s="13" t="s">
        <v>1027</v>
      </c>
      <c r="BO229" s="13" t="s">
        <v>1678</v>
      </c>
      <c r="BP229" s="13" t="s">
        <v>1028</v>
      </c>
      <c r="BQ229" s="13" t="s">
        <v>1029</v>
      </c>
      <c r="BR229" s="13" t="s">
        <v>1030</v>
      </c>
      <c r="BS229" s="13" t="s">
        <v>100</v>
      </c>
      <c r="BT229" s="63" t="s">
        <v>1031</v>
      </c>
    </row>
    <row r="230" spans="1:77" s="3" customFormat="1" ht="53.25" customHeight="1" outlineLevel="1" x14ac:dyDescent="0.25">
      <c r="A230" s="106"/>
      <c r="B230" s="59">
        <v>17</v>
      </c>
      <c r="C230" s="67" t="s">
        <v>325</v>
      </c>
      <c r="D230" s="104" t="s">
        <v>1144</v>
      </c>
      <c r="E230" s="104" t="s">
        <v>324</v>
      </c>
      <c r="F230" s="13">
        <v>73722</v>
      </c>
      <c r="G230" s="13">
        <v>70953</v>
      </c>
      <c r="H230" s="13"/>
      <c r="I230" s="13"/>
      <c r="J230" s="13"/>
      <c r="K230" s="13">
        <v>1</v>
      </c>
      <c r="L230" s="13">
        <v>1</v>
      </c>
      <c r="M230" s="13">
        <v>0</v>
      </c>
      <c r="N230" s="104">
        <f t="shared" si="334"/>
        <v>0</v>
      </c>
      <c r="O230" s="104">
        <v>63858</v>
      </c>
      <c r="P230" s="104">
        <v>1</v>
      </c>
      <c r="Q230" s="26">
        <v>63858</v>
      </c>
      <c r="R230" s="104">
        <v>1</v>
      </c>
      <c r="S230" s="104">
        <f t="shared" si="338"/>
        <v>63858</v>
      </c>
      <c r="T230" s="104"/>
      <c r="U230" s="26">
        <f t="shared" si="339"/>
        <v>63858</v>
      </c>
      <c r="V230" s="113">
        <f t="shared" si="339"/>
        <v>1</v>
      </c>
      <c r="W230" s="113"/>
      <c r="X230" s="113">
        <f t="shared" si="340"/>
        <v>0</v>
      </c>
      <c r="Y230" s="113">
        <v>63858</v>
      </c>
      <c r="Z230" s="113">
        <f t="shared" si="341"/>
        <v>1</v>
      </c>
      <c r="AA230" s="118">
        <v>-63858</v>
      </c>
      <c r="AB230" s="122"/>
      <c r="AC230" s="26">
        <f t="shared" si="346"/>
        <v>0</v>
      </c>
      <c r="AD230" s="104">
        <f t="shared" si="346"/>
        <v>0</v>
      </c>
      <c r="AE230" s="104"/>
      <c r="AF230" s="104">
        <f t="shared" si="331"/>
        <v>0</v>
      </c>
      <c r="AG230" s="104"/>
      <c r="AH230" s="104">
        <f t="shared" si="332"/>
        <v>0</v>
      </c>
      <c r="AI230" s="13">
        <f t="shared" si="335"/>
        <v>0</v>
      </c>
      <c r="AJ230" s="13">
        <v>1</v>
      </c>
      <c r="AK230" s="13"/>
      <c r="AL230" s="13">
        <v>0</v>
      </c>
      <c r="AM230" s="13">
        <v>0</v>
      </c>
      <c r="AN230" s="104">
        <f t="shared" si="342"/>
        <v>-63858</v>
      </c>
      <c r="AO230" s="13"/>
      <c r="AP230" s="13">
        <f t="shared" si="336"/>
        <v>63858</v>
      </c>
      <c r="AQ230" s="13"/>
      <c r="AR230" s="34">
        <f t="shared" si="345"/>
        <v>63858</v>
      </c>
      <c r="AS230" s="10">
        <f t="shared" si="345"/>
        <v>1</v>
      </c>
      <c r="AT230" s="19"/>
      <c r="AU230" s="10">
        <f t="shared" si="274"/>
        <v>0</v>
      </c>
      <c r="AV230" s="19">
        <f>63858</f>
        <v>63858</v>
      </c>
      <c r="AW230" s="10">
        <f t="shared" si="275"/>
        <v>1</v>
      </c>
      <c r="AX230" s="19">
        <f t="shared" si="344"/>
        <v>7095.333333333333</v>
      </c>
      <c r="AY230" s="19"/>
      <c r="AZ230" s="19"/>
      <c r="BA230" s="19">
        <v>0</v>
      </c>
      <c r="BB230" s="19">
        <v>0</v>
      </c>
      <c r="BC230" s="10">
        <f t="shared" si="343"/>
        <v>0</v>
      </c>
      <c r="BD230" s="19"/>
      <c r="BE230" s="26">
        <f t="shared" si="309"/>
        <v>0</v>
      </c>
      <c r="BF230" s="104">
        <f t="shared" si="309"/>
        <v>0</v>
      </c>
      <c r="BG230" s="13"/>
      <c r="BH230" s="104">
        <f t="shared" si="333"/>
        <v>0</v>
      </c>
      <c r="BI230" s="13"/>
      <c r="BJ230" s="104">
        <f t="shared" si="266"/>
        <v>0</v>
      </c>
      <c r="BK230" s="13">
        <f t="shared" si="337"/>
        <v>0</v>
      </c>
      <c r="BL230" s="104"/>
      <c r="BM230" s="104"/>
      <c r="BN230" s="104" t="s">
        <v>1278</v>
      </c>
      <c r="BO230" s="104" t="s">
        <v>403</v>
      </c>
      <c r="BP230" s="104" t="s">
        <v>1032</v>
      </c>
      <c r="BQ230" s="104" t="s">
        <v>1033</v>
      </c>
      <c r="BR230" s="104" t="s">
        <v>1034</v>
      </c>
      <c r="BS230" s="104" t="s">
        <v>1035</v>
      </c>
      <c r="BT230" s="55" t="s">
        <v>1031</v>
      </c>
    </row>
    <row r="231" spans="1:77" s="3" customFormat="1" ht="48.75" customHeight="1" outlineLevel="1" x14ac:dyDescent="0.25">
      <c r="A231" s="106"/>
      <c r="B231" s="59">
        <v>18</v>
      </c>
      <c r="C231" s="104" t="s">
        <v>829</v>
      </c>
      <c r="D231" s="104" t="s">
        <v>830</v>
      </c>
      <c r="E231" s="104" t="s">
        <v>10</v>
      </c>
      <c r="F231" s="13">
        <v>2415863</v>
      </c>
      <c r="G231" s="13">
        <v>2334416</v>
      </c>
      <c r="H231" s="13"/>
      <c r="I231" s="13"/>
      <c r="J231" s="13"/>
      <c r="K231" s="13"/>
      <c r="L231" s="13"/>
      <c r="M231" s="13">
        <v>0</v>
      </c>
      <c r="N231" s="104">
        <f t="shared" si="334"/>
        <v>0</v>
      </c>
      <c r="O231" s="104">
        <v>1100000</v>
      </c>
      <c r="P231" s="104">
        <v>1</v>
      </c>
      <c r="Q231" s="26">
        <v>634340</v>
      </c>
      <c r="R231" s="104">
        <v>1</v>
      </c>
      <c r="S231" s="104">
        <f t="shared" si="338"/>
        <v>634340</v>
      </c>
      <c r="T231" s="104"/>
      <c r="U231" s="26">
        <f t="shared" si="339"/>
        <v>634340</v>
      </c>
      <c r="V231" s="113">
        <f t="shared" si="339"/>
        <v>1</v>
      </c>
      <c r="W231" s="113"/>
      <c r="X231" s="113">
        <f t="shared" si="340"/>
        <v>0</v>
      </c>
      <c r="Y231" s="113">
        <v>634340</v>
      </c>
      <c r="Z231" s="113">
        <f t="shared" si="341"/>
        <v>1</v>
      </c>
      <c r="AA231" s="118">
        <v>-634340</v>
      </c>
      <c r="AB231" s="122"/>
      <c r="AC231" s="26">
        <f t="shared" si="346"/>
        <v>0</v>
      </c>
      <c r="AD231" s="104">
        <f t="shared" si="346"/>
        <v>0</v>
      </c>
      <c r="AE231" s="104"/>
      <c r="AF231" s="104">
        <f t="shared" si="331"/>
        <v>0</v>
      </c>
      <c r="AG231" s="104"/>
      <c r="AH231" s="104">
        <f t="shared" si="332"/>
        <v>0</v>
      </c>
      <c r="AI231" s="13">
        <f t="shared" si="335"/>
        <v>0</v>
      </c>
      <c r="AJ231" s="13"/>
      <c r="AK231" s="13">
        <v>1</v>
      </c>
      <c r="AL231" s="13">
        <v>1466634</v>
      </c>
      <c r="AM231" s="13">
        <v>1</v>
      </c>
      <c r="AN231" s="104">
        <f t="shared" si="342"/>
        <v>832294</v>
      </c>
      <c r="AO231" s="13"/>
      <c r="AP231" s="13">
        <f t="shared" si="336"/>
        <v>634340</v>
      </c>
      <c r="AQ231" s="13"/>
      <c r="AR231" s="34">
        <f t="shared" si="345"/>
        <v>634340</v>
      </c>
      <c r="AS231" s="10">
        <f t="shared" si="345"/>
        <v>1</v>
      </c>
      <c r="AT231" s="10"/>
      <c r="AU231" s="10">
        <f t="shared" si="274"/>
        <v>0</v>
      </c>
      <c r="AV231" s="10">
        <f>634340</f>
        <v>634340</v>
      </c>
      <c r="AW231" s="10">
        <f t="shared" si="275"/>
        <v>1</v>
      </c>
      <c r="AX231" s="19">
        <f t="shared" si="344"/>
        <v>70482.222222222234</v>
      </c>
      <c r="AY231" s="10">
        <v>1</v>
      </c>
      <c r="AZ231" s="10"/>
      <c r="BA231" s="10">
        <v>0</v>
      </c>
      <c r="BB231" s="10">
        <v>0</v>
      </c>
      <c r="BC231" s="10">
        <f t="shared" si="343"/>
        <v>-1466634</v>
      </c>
      <c r="BD231" s="10"/>
      <c r="BE231" s="26">
        <f t="shared" si="309"/>
        <v>1466634</v>
      </c>
      <c r="BF231" s="104">
        <f t="shared" si="309"/>
        <v>1</v>
      </c>
      <c r="BG231" s="13">
        <f>1466634</f>
        <v>1466634</v>
      </c>
      <c r="BH231" s="104">
        <f t="shared" si="333"/>
        <v>1</v>
      </c>
      <c r="BI231" s="13"/>
      <c r="BJ231" s="104">
        <f t="shared" si="266"/>
        <v>0</v>
      </c>
      <c r="BK231" s="13">
        <f t="shared" si="337"/>
        <v>162959.33333333334</v>
      </c>
      <c r="BL231" s="104"/>
      <c r="BM231" s="104"/>
      <c r="BN231" s="104" t="s">
        <v>1282</v>
      </c>
      <c r="BO231" s="13" t="s">
        <v>1678</v>
      </c>
      <c r="BP231" s="104" t="s">
        <v>1283</v>
      </c>
      <c r="BQ231" s="104" t="s">
        <v>1284</v>
      </c>
      <c r="BR231" s="104" t="s">
        <v>1285</v>
      </c>
      <c r="BS231" s="104" t="s">
        <v>1286</v>
      </c>
      <c r="BT231" s="55" t="s">
        <v>1287</v>
      </c>
    </row>
    <row r="232" spans="1:77" s="35" customFormat="1" ht="11.25" x14ac:dyDescent="0.25">
      <c r="A232" s="48"/>
      <c r="B232" s="60">
        <v>12</v>
      </c>
      <c r="C232" s="26" t="s">
        <v>540</v>
      </c>
      <c r="D232" s="26"/>
      <c r="E232" s="26"/>
      <c r="F232" s="26">
        <f>F233</f>
        <v>13326398.9</v>
      </c>
      <c r="G232" s="26">
        <f t="shared" ref="G232:BT232" si="347">G233</f>
        <v>13207699.140000001</v>
      </c>
      <c r="H232" s="26"/>
      <c r="I232" s="26"/>
      <c r="J232" s="26"/>
      <c r="K232" s="26"/>
      <c r="L232" s="26"/>
      <c r="M232" s="26">
        <f t="shared" si="347"/>
        <v>3469772</v>
      </c>
      <c r="N232" s="26">
        <f t="shared" si="347"/>
        <v>4911001.4285714291</v>
      </c>
      <c r="O232" s="26">
        <v>5270417</v>
      </c>
      <c r="P232" s="26">
        <v>12</v>
      </c>
      <c r="Q232" s="26">
        <v>3738185</v>
      </c>
      <c r="R232" s="26">
        <v>9</v>
      </c>
      <c r="S232" s="26">
        <f t="shared" si="347"/>
        <v>300484</v>
      </c>
      <c r="T232" s="26">
        <f t="shared" si="347"/>
        <v>0</v>
      </c>
      <c r="U232" s="26">
        <f t="shared" si="347"/>
        <v>3643945</v>
      </c>
      <c r="V232" s="26">
        <f t="shared" si="347"/>
        <v>9</v>
      </c>
      <c r="W232" s="26">
        <f t="shared" si="347"/>
        <v>3313945</v>
      </c>
      <c r="X232" s="26">
        <f t="shared" si="347"/>
        <v>7</v>
      </c>
      <c r="Y232" s="26">
        <f t="shared" si="347"/>
        <v>330000</v>
      </c>
      <c r="Z232" s="26">
        <f t="shared" si="347"/>
        <v>2</v>
      </c>
      <c r="AA232" s="26">
        <f t="shared" si="347"/>
        <v>-330000</v>
      </c>
      <c r="AB232" s="26">
        <f t="shared" si="347"/>
        <v>123756</v>
      </c>
      <c r="AC232" s="26">
        <f t="shared" si="347"/>
        <v>3437701</v>
      </c>
      <c r="AD232" s="26">
        <f t="shared" si="346"/>
        <v>7</v>
      </c>
      <c r="AE232" s="26">
        <f t="shared" si="347"/>
        <v>3437701</v>
      </c>
      <c r="AF232" s="26">
        <f t="shared" si="347"/>
        <v>7</v>
      </c>
      <c r="AG232" s="26">
        <f t="shared" si="347"/>
        <v>0</v>
      </c>
      <c r="AH232" s="26">
        <f t="shared" si="347"/>
        <v>0</v>
      </c>
      <c r="AI232" s="26">
        <f t="shared" si="347"/>
        <v>1473300.4285714289</v>
      </c>
      <c r="AJ232" s="26">
        <f t="shared" si="347"/>
        <v>7</v>
      </c>
      <c r="AK232" s="26">
        <f t="shared" si="347"/>
        <v>2</v>
      </c>
      <c r="AL232" s="26">
        <f t="shared" si="347"/>
        <v>2215877.5</v>
      </c>
      <c r="AM232" s="26">
        <f t="shared" si="347"/>
        <v>5</v>
      </c>
      <c r="AN232" s="26">
        <f t="shared" si="347"/>
        <v>-952361</v>
      </c>
      <c r="AO232" s="26">
        <f t="shared" si="347"/>
        <v>0</v>
      </c>
      <c r="AP232" s="26">
        <f t="shared" si="347"/>
        <v>206244</v>
      </c>
      <c r="AQ232" s="26">
        <f t="shared" si="347"/>
        <v>0</v>
      </c>
      <c r="AR232" s="26">
        <f t="shared" si="347"/>
        <v>3168238.5</v>
      </c>
      <c r="AS232" s="26">
        <f t="shared" si="347"/>
        <v>8</v>
      </c>
      <c r="AT232" s="26">
        <f t="shared" si="347"/>
        <v>1681357</v>
      </c>
      <c r="AU232" s="26">
        <f t="shared" si="347"/>
        <v>5</v>
      </c>
      <c r="AV232" s="26">
        <f t="shared" si="347"/>
        <v>1486881.5</v>
      </c>
      <c r="AW232" s="26">
        <f t="shared" si="347"/>
        <v>3</v>
      </c>
      <c r="AX232" s="26">
        <f t="shared" si="347"/>
        <v>1357816.5</v>
      </c>
      <c r="AY232" s="26">
        <f t="shared" si="347"/>
        <v>3</v>
      </c>
      <c r="AZ232" s="26">
        <f t="shared" si="347"/>
        <v>2</v>
      </c>
      <c r="BA232" s="26">
        <v>738728.5</v>
      </c>
      <c r="BB232" s="26">
        <v>2</v>
      </c>
      <c r="BC232" s="34">
        <f t="shared" si="343"/>
        <v>0</v>
      </c>
      <c r="BD232" s="26"/>
      <c r="BE232" s="26">
        <f t="shared" si="347"/>
        <v>738728.5</v>
      </c>
      <c r="BF232" s="26">
        <f t="shared" si="347"/>
        <v>2</v>
      </c>
      <c r="BG232" s="26">
        <f t="shared" si="347"/>
        <v>738728.5</v>
      </c>
      <c r="BH232" s="26">
        <f t="shared" si="347"/>
        <v>2</v>
      </c>
      <c r="BI232" s="26">
        <f t="shared" si="347"/>
        <v>0</v>
      </c>
      <c r="BJ232" s="26">
        <f t="shared" si="347"/>
        <v>0</v>
      </c>
      <c r="BK232" s="26">
        <f t="shared" si="347"/>
        <v>316598.71428571432</v>
      </c>
      <c r="BL232" s="26">
        <f t="shared" si="347"/>
        <v>2</v>
      </c>
      <c r="BM232" s="26">
        <f t="shared" si="347"/>
        <v>0</v>
      </c>
      <c r="BN232" s="26">
        <f t="shared" si="347"/>
        <v>0</v>
      </c>
      <c r="BO232" s="26">
        <f t="shared" si="347"/>
        <v>0</v>
      </c>
      <c r="BP232" s="26">
        <f t="shared" si="347"/>
        <v>0</v>
      </c>
      <c r="BQ232" s="26">
        <f t="shared" si="347"/>
        <v>0</v>
      </c>
      <c r="BR232" s="26">
        <f t="shared" si="347"/>
        <v>0</v>
      </c>
      <c r="BS232" s="26">
        <f t="shared" si="347"/>
        <v>0</v>
      </c>
      <c r="BT232" s="58">
        <f t="shared" si="347"/>
        <v>0</v>
      </c>
      <c r="BU232" s="25"/>
      <c r="BV232" s="25"/>
      <c r="BW232" s="25"/>
      <c r="BX232" s="25"/>
      <c r="BY232" s="25"/>
    </row>
    <row r="233" spans="1:77" ht="11.25" outlineLevel="1" x14ac:dyDescent="0.25">
      <c r="A233" s="106"/>
      <c r="B233" s="107">
        <v>12</v>
      </c>
      <c r="C233" s="104" t="s">
        <v>198</v>
      </c>
      <c r="D233" s="104"/>
      <c r="E233" s="104"/>
      <c r="F233" s="104">
        <f>SUM(F234:F245)</f>
        <v>13326398.9</v>
      </c>
      <c r="G233" s="104">
        <f t="shared" ref="G233:BT233" si="348">SUM(G234:G245)</f>
        <v>13207699.140000001</v>
      </c>
      <c r="H233" s="104"/>
      <c r="I233" s="104"/>
      <c r="J233" s="104"/>
      <c r="K233" s="104"/>
      <c r="L233" s="104"/>
      <c r="M233" s="104">
        <f t="shared" si="348"/>
        <v>3469772</v>
      </c>
      <c r="N233" s="104">
        <f t="shared" si="348"/>
        <v>4911001.4285714291</v>
      </c>
      <c r="O233" s="104">
        <v>5270417</v>
      </c>
      <c r="P233" s="104">
        <v>12</v>
      </c>
      <c r="Q233" s="26">
        <v>3738185</v>
      </c>
      <c r="R233" s="104">
        <v>9</v>
      </c>
      <c r="S233" s="26">
        <f t="shared" ref="S233:V233" si="349">SUM(S234:S245)</f>
        <v>300484</v>
      </c>
      <c r="T233" s="26">
        <f t="shared" si="349"/>
        <v>0</v>
      </c>
      <c r="U233" s="26">
        <f t="shared" si="349"/>
        <v>3643945</v>
      </c>
      <c r="V233" s="67">
        <f t="shared" si="349"/>
        <v>9</v>
      </c>
      <c r="W233" s="67">
        <f t="shared" ref="W233:Z233" si="350">SUM(W234:W245)</f>
        <v>3313945</v>
      </c>
      <c r="X233" s="67">
        <f t="shared" si="350"/>
        <v>7</v>
      </c>
      <c r="Y233" s="67">
        <f t="shared" si="350"/>
        <v>330000</v>
      </c>
      <c r="Z233" s="67">
        <f t="shared" si="350"/>
        <v>2</v>
      </c>
      <c r="AA233" s="67">
        <f t="shared" ref="AA233:AB233" si="351">SUM(AA234:AA245)</f>
        <v>-330000</v>
      </c>
      <c r="AB233" s="67">
        <f t="shared" si="351"/>
        <v>123756</v>
      </c>
      <c r="AC233" s="26">
        <f t="shared" si="348"/>
        <v>3437701</v>
      </c>
      <c r="AD233" s="104">
        <f t="shared" si="348"/>
        <v>7</v>
      </c>
      <c r="AE233" s="104">
        <f t="shared" si="348"/>
        <v>3437701</v>
      </c>
      <c r="AF233" s="104">
        <f t="shared" si="348"/>
        <v>7</v>
      </c>
      <c r="AG233" s="104">
        <f t="shared" si="348"/>
        <v>0</v>
      </c>
      <c r="AH233" s="104">
        <f t="shared" si="348"/>
        <v>0</v>
      </c>
      <c r="AI233" s="104">
        <f t="shared" si="348"/>
        <v>1473300.4285714289</v>
      </c>
      <c r="AJ233" s="113">
        <f t="shared" ref="AJ233:AQ233" si="352">SUM(AJ234:AJ245)</f>
        <v>7</v>
      </c>
      <c r="AK233" s="113">
        <f t="shared" si="352"/>
        <v>2</v>
      </c>
      <c r="AL233" s="113">
        <f t="shared" si="352"/>
        <v>2215877.5</v>
      </c>
      <c r="AM233" s="113">
        <f t="shared" si="352"/>
        <v>5</v>
      </c>
      <c r="AN233" s="113">
        <f t="shared" si="352"/>
        <v>-952361</v>
      </c>
      <c r="AO233" s="113">
        <f t="shared" si="352"/>
        <v>0</v>
      </c>
      <c r="AP233" s="113">
        <f t="shared" si="352"/>
        <v>206244</v>
      </c>
      <c r="AQ233" s="113">
        <f t="shared" si="352"/>
        <v>0</v>
      </c>
      <c r="AR233" s="26">
        <f t="shared" si="348"/>
        <v>3168238.5</v>
      </c>
      <c r="AS233" s="104">
        <f t="shared" si="348"/>
        <v>8</v>
      </c>
      <c r="AT233" s="104">
        <f>SUM(AT234:AT245)</f>
        <v>1681357</v>
      </c>
      <c r="AU233" s="104">
        <f t="shared" si="348"/>
        <v>5</v>
      </c>
      <c r="AV233" s="104">
        <f t="shared" si="348"/>
        <v>1486881.5</v>
      </c>
      <c r="AW233" s="104">
        <f t="shared" si="348"/>
        <v>3</v>
      </c>
      <c r="AX233" s="104">
        <f t="shared" si="348"/>
        <v>1357816.5</v>
      </c>
      <c r="AY233" s="104">
        <f t="shared" si="348"/>
        <v>3</v>
      </c>
      <c r="AZ233" s="104">
        <f t="shared" si="348"/>
        <v>2</v>
      </c>
      <c r="BA233" s="104">
        <v>738728.5</v>
      </c>
      <c r="BB233" s="104">
        <v>2</v>
      </c>
      <c r="BC233" s="10">
        <f t="shared" si="343"/>
        <v>0</v>
      </c>
      <c r="BD233" s="104"/>
      <c r="BE233" s="26">
        <f t="shared" si="348"/>
        <v>738728.5</v>
      </c>
      <c r="BF233" s="104">
        <f t="shared" si="348"/>
        <v>2</v>
      </c>
      <c r="BG233" s="104">
        <f t="shared" si="348"/>
        <v>738728.5</v>
      </c>
      <c r="BH233" s="104">
        <f t="shared" si="348"/>
        <v>2</v>
      </c>
      <c r="BI233" s="104">
        <f t="shared" si="348"/>
        <v>0</v>
      </c>
      <c r="BJ233" s="104">
        <f t="shared" si="348"/>
        <v>0</v>
      </c>
      <c r="BK233" s="104">
        <f t="shared" si="348"/>
        <v>316598.71428571432</v>
      </c>
      <c r="BL233" s="104">
        <f t="shared" si="348"/>
        <v>2</v>
      </c>
      <c r="BM233" s="104">
        <f t="shared" si="348"/>
        <v>0</v>
      </c>
      <c r="BN233" s="104">
        <f t="shared" si="348"/>
        <v>0</v>
      </c>
      <c r="BO233" s="104">
        <f t="shared" si="348"/>
        <v>0</v>
      </c>
      <c r="BP233" s="104">
        <f t="shared" si="348"/>
        <v>0</v>
      </c>
      <c r="BQ233" s="104">
        <f t="shared" si="348"/>
        <v>0</v>
      </c>
      <c r="BR233" s="104">
        <f t="shared" si="348"/>
        <v>0</v>
      </c>
      <c r="BS233" s="104">
        <f t="shared" si="348"/>
        <v>0</v>
      </c>
      <c r="BT233" s="55">
        <f t="shared" si="348"/>
        <v>0</v>
      </c>
    </row>
    <row r="234" spans="1:77" ht="42.75" customHeight="1" outlineLevel="1" x14ac:dyDescent="0.25">
      <c r="A234" s="106"/>
      <c r="B234" s="59">
        <v>1</v>
      </c>
      <c r="C234" s="104" t="s">
        <v>135</v>
      </c>
      <c r="D234" s="13" t="s">
        <v>313</v>
      </c>
      <c r="E234" s="104" t="s">
        <v>9</v>
      </c>
      <c r="F234" s="104">
        <v>501019</v>
      </c>
      <c r="G234" s="104">
        <v>497019</v>
      </c>
      <c r="H234" s="104">
        <v>496713</v>
      </c>
      <c r="I234" s="104">
        <f t="shared" ref="I234:I240" si="353">G234-H234</f>
        <v>306</v>
      </c>
      <c r="J234" s="104">
        <v>1</v>
      </c>
      <c r="K234" s="104"/>
      <c r="L234" s="104"/>
      <c r="M234" s="104">
        <v>214286</v>
      </c>
      <c r="N234" s="104">
        <f>AC234+AI234</f>
        <v>282732.85714285716</v>
      </c>
      <c r="O234" s="104">
        <v>197913</v>
      </c>
      <c r="P234" s="104">
        <v>1</v>
      </c>
      <c r="Q234" s="26">
        <v>197913</v>
      </c>
      <c r="R234" s="104">
        <v>1</v>
      </c>
      <c r="S234" s="104">
        <f t="shared" si="338"/>
        <v>0</v>
      </c>
      <c r="T234" s="104"/>
      <c r="U234" s="26">
        <f t="shared" ref="U234:V245" si="354">W234+Y234</f>
        <v>197913</v>
      </c>
      <c r="V234" s="113">
        <f t="shared" si="354"/>
        <v>1</v>
      </c>
      <c r="W234" s="113">
        <v>197913</v>
      </c>
      <c r="X234" s="113">
        <f t="shared" ref="X234:X245" si="355">IF(W234,1,0)</f>
        <v>1</v>
      </c>
      <c r="Y234" s="113"/>
      <c r="Z234" s="113">
        <f t="shared" ref="Z234:Z245" si="356">IF(Y234,1,0)</f>
        <v>0</v>
      </c>
      <c r="AA234" s="118">
        <v>0</v>
      </c>
      <c r="AB234" s="122"/>
      <c r="AC234" s="26">
        <f t="shared" si="346"/>
        <v>197913</v>
      </c>
      <c r="AD234" s="104">
        <f t="shared" si="346"/>
        <v>1</v>
      </c>
      <c r="AE234" s="104">
        <v>197913</v>
      </c>
      <c r="AF234" s="104">
        <f t="shared" ref="AF234:AF245" si="357">IF(AE234,1,0)</f>
        <v>1</v>
      </c>
      <c r="AG234" s="104"/>
      <c r="AH234" s="104">
        <f t="shared" ref="AH234:AH245" si="358">IF(AG234,1,0)</f>
        <v>0</v>
      </c>
      <c r="AI234" s="104">
        <f>AC234/0.7*0.3</f>
        <v>84819.857142857145</v>
      </c>
      <c r="AJ234" s="104">
        <v>1</v>
      </c>
      <c r="AK234" s="104"/>
      <c r="AL234" s="104">
        <v>0</v>
      </c>
      <c r="AM234" s="104"/>
      <c r="AN234" s="104">
        <f t="shared" si="342"/>
        <v>0</v>
      </c>
      <c r="AO234" s="104"/>
      <c r="AP234" s="113">
        <f>U234-AC234</f>
        <v>0</v>
      </c>
      <c r="AQ234" s="113"/>
      <c r="AR234" s="34">
        <f t="shared" si="345"/>
        <v>0</v>
      </c>
      <c r="AS234" s="10"/>
      <c r="AT234" s="10">
        <v>0</v>
      </c>
      <c r="AU234" s="10">
        <v>0</v>
      </c>
      <c r="AV234" s="10"/>
      <c r="AW234" s="10"/>
      <c r="AX234" s="10">
        <f>AR234/0.7*0.3</f>
        <v>0</v>
      </c>
      <c r="AY234" s="10"/>
      <c r="AZ234" s="10"/>
      <c r="BA234" s="10">
        <v>0</v>
      </c>
      <c r="BB234" s="10">
        <v>0</v>
      </c>
      <c r="BC234" s="10">
        <f t="shared" si="343"/>
        <v>0</v>
      </c>
      <c r="BD234" s="10"/>
      <c r="BE234" s="26">
        <f t="shared" si="309"/>
        <v>0</v>
      </c>
      <c r="BF234" s="104">
        <f t="shared" si="309"/>
        <v>0</v>
      </c>
      <c r="BG234" s="104"/>
      <c r="BH234" s="104">
        <f t="shared" si="333"/>
        <v>0</v>
      </c>
      <c r="BI234" s="104"/>
      <c r="BJ234" s="104">
        <f t="shared" ref="BJ234:BJ245" si="359">IF(BI234,1,0)</f>
        <v>0</v>
      </c>
      <c r="BK234" s="104"/>
      <c r="BL234" s="104"/>
      <c r="BM234" s="104"/>
      <c r="BN234" s="104" t="s">
        <v>918</v>
      </c>
      <c r="BO234" s="104" t="s">
        <v>1679</v>
      </c>
      <c r="BP234" s="104" t="s">
        <v>1680</v>
      </c>
      <c r="BQ234" s="104" t="s">
        <v>118</v>
      </c>
      <c r="BR234" s="104" t="s">
        <v>1048</v>
      </c>
      <c r="BS234" s="104" t="s">
        <v>136</v>
      </c>
      <c r="BT234" s="55" t="s">
        <v>137</v>
      </c>
    </row>
    <row r="235" spans="1:77" ht="33" customHeight="1" outlineLevel="1" x14ac:dyDescent="0.25">
      <c r="A235" s="106"/>
      <c r="B235" s="59">
        <v>2</v>
      </c>
      <c r="C235" s="104" t="s">
        <v>120</v>
      </c>
      <c r="D235" s="104" t="s">
        <v>121</v>
      </c>
      <c r="E235" s="104" t="s">
        <v>9</v>
      </c>
      <c r="F235" s="104">
        <v>1184589</v>
      </c>
      <c r="G235" s="104">
        <v>1180589</v>
      </c>
      <c r="H235" s="104">
        <v>1179982</v>
      </c>
      <c r="I235" s="104">
        <f t="shared" si="353"/>
        <v>607</v>
      </c>
      <c r="J235" s="104">
        <v>1</v>
      </c>
      <c r="K235" s="104">
        <v>1</v>
      </c>
      <c r="L235" s="104">
        <v>1</v>
      </c>
      <c r="M235" s="104">
        <v>447437</v>
      </c>
      <c r="N235" s="104">
        <f t="shared" ref="N235:N245" si="360">AC235+AI235</f>
        <v>733151.42857142864</v>
      </c>
      <c r="O235" s="104">
        <v>513206</v>
      </c>
      <c r="P235" s="104">
        <v>1</v>
      </c>
      <c r="Q235" s="26">
        <v>513206</v>
      </c>
      <c r="R235" s="104">
        <v>1</v>
      </c>
      <c r="S235" s="104">
        <f t="shared" si="338"/>
        <v>0</v>
      </c>
      <c r="T235" s="104"/>
      <c r="U235" s="26">
        <f t="shared" si="354"/>
        <v>513206</v>
      </c>
      <c r="V235" s="113">
        <f t="shared" si="354"/>
        <v>1</v>
      </c>
      <c r="W235" s="113">
        <v>513206</v>
      </c>
      <c r="X235" s="113">
        <f t="shared" si="355"/>
        <v>1</v>
      </c>
      <c r="Y235" s="113"/>
      <c r="Z235" s="113">
        <f t="shared" si="356"/>
        <v>0</v>
      </c>
      <c r="AA235" s="118">
        <v>0</v>
      </c>
      <c r="AB235" s="122"/>
      <c r="AC235" s="26">
        <f t="shared" si="346"/>
        <v>513206</v>
      </c>
      <c r="AD235" s="104">
        <f t="shared" si="346"/>
        <v>1</v>
      </c>
      <c r="AE235" s="104">
        <f>513206</f>
        <v>513206</v>
      </c>
      <c r="AF235" s="104">
        <f t="shared" si="357"/>
        <v>1</v>
      </c>
      <c r="AG235" s="104"/>
      <c r="AH235" s="104">
        <f t="shared" si="358"/>
        <v>0</v>
      </c>
      <c r="AI235" s="104">
        <f t="shared" ref="AI235:AI244" si="361">AC235/0.7*0.3</f>
        <v>219945.42857142858</v>
      </c>
      <c r="AJ235" s="104">
        <v>1</v>
      </c>
      <c r="AK235" s="104"/>
      <c r="AL235" s="104">
        <v>0</v>
      </c>
      <c r="AM235" s="104">
        <v>0</v>
      </c>
      <c r="AN235" s="104">
        <f t="shared" si="342"/>
        <v>-118106</v>
      </c>
      <c r="AO235" s="104"/>
      <c r="AP235" s="113">
        <f t="shared" ref="AP235:AP245" si="362">U235-AC235</f>
        <v>0</v>
      </c>
      <c r="AQ235" s="113"/>
      <c r="AR235" s="34">
        <f t="shared" si="345"/>
        <v>118106</v>
      </c>
      <c r="AS235" s="10">
        <f t="shared" si="345"/>
        <v>1</v>
      </c>
      <c r="AT235" s="10">
        <f>118106</f>
        <v>118106</v>
      </c>
      <c r="AU235" s="10">
        <f t="shared" si="274"/>
        <v>1</v>
      </c>
      <c r="AV235" s="10"/>
      <c r="AW235" s="10">
        <f t="shared" si="275"/>
        <v>0</v>
      </c>
      <c r="AX235" s="10">
        <f t="shared" ref="AX235:AX243" si="363">AR235/0.7*0.3</f>
        <v>50616.857142857145</v>
      </c>
      <c r="AY235" s="10"/>
      <c r="AZ235" s="10"/>
      <c r="BA235" s="10">
        <v>0</v>
      </c>
      <c r="BB235" s="10">
        <v>0</v>
      </c>
      <c r="BC235" s="10">
        <f t="shared" si="343"/>
        <v>0</v>
      </c>
      <c r="BD235" s="10"/>
      <c r="BE235" s="26">
        <f t="shared" si="309"/>
        <v>0</v>
      </c>
      <c r="BF235" s="104">
        <f t="shared" si="309"/>
        <v>0</v>
      </c>
      <c r="BG235" s="104"/>
      <c r="BH235" s="104">
        <f t="shared" si="333"/>
        <v>0</v>
      </c>
      <c r="BI235" s="104"/>
      <c r="BJ235" s="104">
        <f t="shared" si="359"/>
        <v>0</v>
      </c>
      <c r="BK235" s="104"/>
      <c r="BL235" s="104"/>
      <c r="BM235" s="104"/>
      <c r="BN235" s="104" t="s">
        <v>122</v>
      </c>
      <c r="BO235" s="104" t="s">
        <v>1681</v>
      </c>
      <c r="BP235" s="104" t="s">
        <v>123</v>
      </c>
      <c r="BQ235" s="104" t="s">
        <v>118</v>
      </c>
      <c r="BR235" s="104" t="s">
        <v>1048</v>
      </c>
      <c r="BS235" s="104" t="s">
        <v>124</v>
      </c>
      <c r="BT235" s="55" t="s">
        <v>1049</v>
      </c>
    </row>
    <row r="236" spans="1:77" ht="39" customHeight="1" outlineLevel="1" x14ac:dyDescent="0.25">
      <c r="A236" s="106"/>
      <c r="B236" s="59">
        <v>3</v>
      </c>
      <c r="C236" s="104" t="s">
        <v>129</v>
      </c>
      <c r="D236" s="104" t="s">
        <v>1150</v>
      </c>
      <c r="E236" s="104" t="s">
        <v>9</v>
      </c>
      <c r="F236" s="104">
        <v>1451427</v>
      </c>
      <c r="G236" s="104">
        <v>1438114.14</v>
      </c>
      <c r="H236" s="104">
        <v>1374154</v>
      </c>
      <c r="I236" s="104">
        <f t="shared" si="353"/>
        <v>63960.139999999898</v>
      </c>
      <c r="J236" s="104">
        <v>1</v>
      </c>
      <c r="K236" s="104">
        <v>1</v>
      </c>
      <c r="L236" s="104">
        <v>1</v>
      </c>
      <c r="M236" s="104">
        <v>463516</v>
      </c>
      <c r="N236" s="104">
        <f t="shared" si="360"/>
        <v>910648.57142857136</v>
      </c>
      <c r="O236" s="104">
        <v>573917</v>
      </c>
      <c r="P236" s="104">
        <v>1</v>
      </c>
      <c r="Q236" s="26">
        <v>573917</v>
      </c>
      <c r="R236" s="104">
        <v>1</v>
      </c>
      <c r="S236" s="104">
        <f t="shared" si="338"/>
        <v>-63537</v>
      </c>
      <c r="T236" s="104"/>
      <c r="U236" s="26">
        <f t="shared" si="354"/>
        <v>529152</v>
      </c>
      <c r="V236" s="113">
        <f t="shared" si="354"/>
        <v>1</v>
      </c>
      <c r="W236" s="113">
        <v>529152</v>
      </c>
      <c r="X236" s="113">
        <f t="shared" si="355"/>
        <v>1</v>
      </c>
      <c r="Y236" s="113"/>
      <c r="Z236" s="113">
        <f t="shared" si="356"/>
        <v>0</v>
      </c>
      <c r="AA236" s="118"/>
      <c r="AB236" s="122">
        <v>108302</v>
      </c>
      <c r="AC236" s="26">
        <f t="shared" si="346"/>
        <v>637454</v>
      </c>
      <c r="AD236" s="104">
        <f t="shared" si="346"/>
        <v>1</v>
      </c>
      <c r="AE236" s="104">
        <f>529152+108302</f>
        <v>637454</v>
      </c>
      <c r="AF236" s="104">
        <f t="shared" si="357"/>
        <v>1</v>
      </c>
      <c r="AG236" s="104"/>
      <c r="AH236" s="104">
        <f t="shared" si="358"/>
        <v>0</v>
      </c>
      <c r="AI236" s="104">
        <f t="shared" si="361"/>
        <v>273194.57142857142</v>
      </c>
      <c r="AJ236" s="104">
        <v>1</v>
      </c>
      <c r="AK236" s="104"/>
      <c r="AL236" s="104">
        <v>0</v>
      </c>
      <c r="AM236" s="104">
        <v>0</v>
      </c>
      <c r="AN236" s="104">
        <f t="shared" si="342"/>
        <v>-322361</v>
      </c>
      <c r="AO236" s="104"/>
      <c r="AP236" s="113">
        <f t="shared" si="362"/>
        <v>-108302</v>
      </c>
      <c r="AQ236" s="113"/>
      <c r="AR236" s="34">
        <f t="shared" si="345"/>
        <v>322361</v>
      </c>
      <c r="AS236" s="10">
        <f t="shared" si="345"/>
        <v>1</v>
      </c>
      <c r="AT236" s="10">
        <f>108302+14059+200000</f>
        <v>322361</v>
      </c>
      <c r="AU236" s="10">
        <f t="shared" si="274"/>
        <v>1</v>
      </c>
      <c r="AV236" s="10"/>
      <c r="AW236" s="10">
        <f t="shared" si="275"/>
        <v>0</v>
      </c>
      <c r="AX236" s="10">
        <f t="shared" si="363"/>
        <v>138154.71428571429</v>
      </c>
      <c r="AY236" s="10"/>
      <c r="AZ236" s="10"/>
      <c r="BA236" s="10">
        <v>0</v>
      </c>
      <c r="BB236" s="10">
        <v>0</v>
      </c>
      <c r="BC236" s="10">
        <f t="shared" si="343"/>
        <v>0</v>
      </c>
      <c r="BD236" s="10"/>
      <c r="BE236" s="26">
        <f t="shared" si="309"/>
        <v>0</v>
      </c>
      <c r="BF236" s="104">
        <f t="shared" si="309"/>
        <v>0</v>
      </c>
      <c r="BG236" s="104"/>
      <c r="BH236" s="104">
        <f t="shared" si="333"/>
        <v>0</v>
      </c>
      <c r="BI236" s="104"/>
      <c r="BJ236" s="104">
        <f t="shared" si="359"/>
        <v>0</v>
      </c>
      <c r="BK236" s="104"/>
      <c r="BL236" s="104"/>
      <c r="BM236" s="104"/>
      <c r="BN236" s="104" t="s">
        <v>919</v>
      </c>
      <c r="BO236" s="104" t="s">
        <v>1054</v>
      </c>
      <c r="BP236" s="104" t="s">
        <v>1051</v>
      </c>
      <c r="BQ236" s="104" t="s">
        <v>1052</v>
      </c>
      <c r="BR236" s="104" t="s">
        <v>1151</v>
      </c>
      <c r="BS236" s="104" t="s">
        <v>1053</v>
      </c>
      <c r="BT236" s="55" t="s">
        <v>1055</v>
      </c>
    </row>
    <row r="237" spans="1:77" ht="36" customHeight="1" outlineLevel="1" x14ac:dyDescent="0.25">
      <c r="A237" s="106"/>
      <c r="B237" s="59">
        <v>4</v>
      </c>
      <c r="C237" s="104" t="s">
        <v>143</v>
      </c>
      <c r="D237" s="104" t="s">
        <v>1152</v>
      </c>
      <c r="E237" s="104" t="s">
        <v>9</v>
      </c>
      <c r="F237" s="104">
        <v>1050558</v>
      </c>
      <c r="G237" s="104">
        <v>1023220</v>
      </c>
      <c r="H237" s="104">
        <v>1021226</v>
      </c>
      <c r="I237" s="104">
        <f t="shared" si="353"/>
        <v>1994</v>
      </c>
      <c r="J237" s="104">
        <v>1</v>
      </c>
      <c r="K237" s="104">
        <v>1</v>
      </c>
      <c r="L237" s="104">
        <v>1</v>
      </c>
      <c r="M237" s="104">
        <v>413316</v>
      </c>
      <c r="N237" s="104">
        <f t="shared" si="360"/>
        <v>609904.28571428568</v>
      </c>
      <c r="O237" s="104">
        <v>411859</v>
      </c>
      <c r="P237" s="104">
        <v>1</v>
      </c>
      <c r="Q237" s="26">
        <v>411859</v>
      </c>
      <c r="R237" s="104">
        <v>1</v>
      </c>
      <c r="S237" s="104">
        <f t="shared" si="338"/>
        <v>-15074</v>
      </c>
      <c r="T237" s="104"/>
      <c r="U237" s="26">
        <f t="shared" si="354"/>
        <v>411859</v>
      </c>
      <c r="V237" s="113">
        <f t="shared" si="354"/>
        <v>1</v>
      </c>
      <c r="W237" s="113">
        <v>411859</v>
      </c>
      <c r="X237" s="113">
        <f t="shared" si="355"/>
        <v>1</v>
      </c>
      <c r="Y237" s="113"/>
      <c r="Z237" s="113">
        <f t="shared" si="356"/>
        <v>0</v>
      </c>
      <c r="AA237" s="118"/>
      <c r="AB237" s="122">
        <v>15074</v>
      </c>
      <c r="AC237" s="26">
        <f t="shared" si="346"/>
        <v>426933</v>
      </c>
      <c r="AD237" s="104">
        <f t="shared" si="346"/>
        <v>1</v>
      </c>
      <c r="AE237" s="104">
        <f>411859+15074</f>
        <v>426933</v>
      </c>
      <c r="AF237" s="104">
        <f t="shared" si="357"/>
        <v>1</v>
      </c>
      <c r="AG237" s="104"/>
      <c r="AH237" s="104">
        <f t="shared" si="358"/>
        <v>0</v>
      </c>
      <c r="AI237" s="104">
        <f t="shared" si="361"/>
        <v>182971.28571428574</v>
      </c>
      <c r="AJ237" s="104">
        <v>1</v>
      </c>
      <c r="AK237" s="104"/>
      <c r="AL237" s="104">
        <v>0</v>
      </c>
      <c r="AM237" s="104">
        <v>0</v>
      </c>
      <c r="AN237" s="104">
        <f t="shared" si="342"/>
        <v>0</v>
      </c>
      <c r="AO237" s="104"/>
      <c r="AP237" s="113">
        <f t="shared" si="362"/>
        <v>-15074</v>
      </c>
      <c r="AQ237" s="113"/>
      <c r="AR237" s="34">
        <f t="shared" si="345"/>
        <v>0</v>
      </c>
      <c r="AS237" s="10">
        <f t="shared" si="345"/>
        <v>0</v>
      </c>
      <c r="AT237" s="10"/>
      <c r="AU237" s="10">
        <f t="shared" si="274"/>
        <v>0</v>
      </c>
      <c r="AV237" s="10"/>
      <c r="AW237" s="10">
        <f t="shared" si="275"/>
        <v>0</v>
      </c>
      <c r="AX237" s="10">
        <f t="shared" si="363"/>
        <v>0</v>
      </c>
      <c r="AY237" s="10"/>
      <c r="AZ237" s="10"/>
      <c r="BA237" s="10">
        <v>0</v>
      </c>
      <c r="BB237" s="10">
        <v>0</v>
      </c>
      <c r="BC237" s="10">
        <f t="shared" si="343"/>
        <v>0</v>
      </c>
      <c r="BD237" s="10"/>
      <c r="BE237" s="26">
        <f t="shared" si="309"/>
        <v>0</v>
      </c>
      <c r="BF237" s="104">
        <f t="shared" si="309"/>
        <v>0</v>
      </c>
      <c r="BG237" s="104"/>
      <c r="BH237" s="104">
        <f t="shared" si="333"/>
        <v>0</v>
      </c>
      <c r="BI237" s="104"/>
      <c r="BJ237" s="104">
        <f t="shared" si="359"/>
        <v>0</v>
      </c>
      <c r="BK237" s="104"/>
      <c r="BL237" s="104"/>
      <c r="BM237" s="104"/>
      <c r="BN237" s="104" t="s">
        <v>144</v>
      </c>
      <c r="BO237" s="104" t="s">
        <v>1682</v>
      </c>
      <c r="BP237" s="104" t="s">
        <v>1062</v>
      </c>
      <c r="BQ237" s="104" t="s">
        <v>147</v>
      </c>
      <c r="BR237" s="104" t="s">
        <v>1063</v>
      </c>
      <c r="BS237" s="104" t="s">
        <v>145</v>
      </c>
      <c r="BT237" s="55" t="s">
        <v>146</v>
      </c>
    </row>
    <row r="238" spans="1:77" ht="59.25" customHeight="1" outlineLevel="1" x14ac:dyDescent="0.25">
      <c r="A238" s="106"/>
      <c r="B238" s="59">
        <v>5</v>
      </c>
      <c r="C238" s="104" t="s">
        <v>110</v>
      </c>
      <c r="D238" s="104" t="s">
        <v>111</v>
      </c>
      <c r="E238" s="104" t="s">
        <v>9</v>
      </c>
      <c r="F238" s="104">
        <v>1188967.8999999999</v>
      </c>
      <c r="G238" s="104">
        <v>1177620</v>
      </c>
      <c r="H238" s="26"/>
      <c r="I238" s="104">
        <f t="shared" si="353"/>
        <v>1177620</v>
      </c>
      <c r="J238" s="104">
        <v>1</v>
      </c>
      <c r="K238" s="104">
        <v>1</v>
      </c>
      <c r="L238" s="104">
        <v>1</v>
      </c>
      <c r="M238" s="104">
        <v>517511</v>
      </c>
      <c r="N238" s="104">
        <f t="shared" si="360"/>
        <v>660108.57142857148</v>
      </c>
      <c r="O238" s="104">
        <v>461696</v>
      </c>
      <c r="P238" s="104">
        <v>1</v>
      </c>
      <c r="Q238" s="26">
        <v>461696</v>
      </c>
      <c r="R238" s="104">
        <v>1</v>
      </c>
      <c r="S238" s="104">
        <f t="shared" si="338"/>
        <v>-380</v>
      </c>
      <c r="T238" s="104"/>
      <c r="U238" s="26">
        <f t="shared" si="354"/>
        <v>461696</v>
      </c>
      <c r="V238" s="113">
        <f t="shared" si="354"/>
        <v>1</v>
      </c>
      <c r="W238" s="113">
        <v>461696</v>
      </c>
      <c r="X238" s="113">
        <f t="shared" si="355"/>
        <v>1</v>
      </c>
      <c r="Y238" s="113"/>
      <c r="Z238" s="113">
        <f t="shared" si="356"/>
        <v>0</v>
      </c>
      <c r="AA238" s="118"/>
      <c r="AB238" s="122">
        <v>380</v>
      </c>
      <c r="AC238" s="26">
        <f t="shared" si="346"/>
        <v>462076</v>
      </c>
      <c r="AD238" s="104">
        <f t="shared" si="346"/>
        <v>1</v>
      </c>
      <c r="AE238" s="104">
        <f>461696+380</f>
        <v>462076</v>
      </c>
      <c r="AF238" s="104">
        <f t="shared" si="357"/>
        <v>1</v>
      </c>
      <c r="AG238" s="104"/>
      <c r="AH238" s="104">
        <f t="shared" si="358"/>
        <v>0</v>
      </c>
      <c r="AI238" s="104">
        <f t="shared" si="361"/>
        <v>198032.57142857145</v>
      </c>
      <c r="AJ238" s="104">
        <v>1</v>
      </c>
      <c r="AK238" s="104"/>
      <c r="AL238" s="104">
        <v>0</v>
      </c>
      <c r="AM238" s="104">
        <v>0</v>
      </c>
      <c r="AN238" s="104">
        <f t="shared" si="342"/>
        <v>0</v>
      </c>
      <c r="AO238" s="104"/>
      <c r="AP238" s="113">
        <f t="shared" si="362"/>
        <v>-380</v>
      </c>
      <c r="AQ238" s="113"/>
      <c r="AR238" s="34">
        <f t="shared" si="345"/>
        <v>0</v>
      </c>
      <c r="AS238" s="10">
        <f t="shared" si="345"/>
        <v>0</v>
      </c>
      <c r="AT238" s="10"/>
      <c r="AU238" s="10">
        <f t="shared" si="274"/>
        <v>0</v>
      </c>
      <c r="AV238" s="10"/>
      <c r="AW238" s="10">
        <f t="shared" si="275"/>
        <v>0</v>
      </c>
      <c r="AX238" s="10">
        <f t="shared" si="363"/>
        <v>0</v>
      </c>
      <c r="AY238" s="10"/>
      <c r="AZ238" s="10"/>
      <c r="BA238" s="10">
        <v>0</v>
      </c>
      <c r="BB238" s="10">
        <v>0</v>
      </c>
      <c r="BC238" s="10">
        <f t="shared" si="343"/>
        <v>0</v>
      </c>
      <c r="BD238" s="10"/>
      <c r="BE238" s="26">
        <f t="shared" si="309"/>
        <v>0</v>
      </c>
      <c r="BF238" s="104">
        <f t="shared" si="309"/>
        <v>0</v>
      </c>
      <c r="BG238" s="104"/>
      <c r="BH238" s="104">
        <f t="shared" si="333"/>
        <v>0</v>
      </c>
      <c r="BI238" s="104"/>
      <c r="BJ238" s="104">
        <f t="shared" si="359"/>
        <v>0</v>
      </c>
      <c r="BK238" s="104"/>
      <c r="BL238" s="104"/>
      <c r="BM238" s="104"/>
      <c r="BN238" s="104" t="s">
        <v>112</v>
      </c>
      <c r="BO238" s="104" t="s">
        <v>1683</v>
      </c>
      <c r="BP238" s="104" t="s">
        <v>1046</v>
      </c>
      <c r="BQ238" s="104" t="s">
        <v>114</v>
      </c>
      <c r="BR238" s="104" t="s">
        <v>1148</v>
      </c>
      <c r="BS238" s="104" t="s">
        <v>113</v>
      </c>
      <c r="BT238" s="55" t="s">
        <v>1292</v>
      </c>
    </row>
    <row r="239" spans="1:77" ht="30.75" customHeight="1" outlineLevel="1" x14ac:dyDescent="0.25">
      <c r="A239" s="106"/>
      <c r="B239" s="59">
        <v>6</v>
      </c>
      <c r="C239" s="104" t="s">
        <v>148</v>
      </c>
      <c r="D239" s="104" t="s">
        <v>149</v>
      </c>
      <c r="E239" s="104" t="s">
        <v>168</v>
      </c>
      <c r="F239" s="104">
        <v>2221175</v>
      </c>
      <c r="G239" s="104">
        <v>2206175</v>
      </c>
      <c r="H239" s="104">
        <v>2204507.02</v>
      </c>
      <c r="I239" s="104">
        <f t="shared" si="353"/>
        <v>1667.9799999999814</v>
      </c>
      <c r="J239" s="104">
        <v>1</v>
      </c>
      <c r="K239" s="104"/>
      <c r="L239" s="104"/>
      <c r="M239" s="104">
        <v>817373</v>
      </c>
      <c r="N239" s="104">
        <f t="shared" si="360"/>
        <v>817374.28571428568</v>
      </c>
      <c r="O239" s="104">
        <v>572162</v>
      </c>
      <c r="P239" s="104">
        <v>1</v>
      </c>
      <c r="Q239" s="26">
        <v>572162</v>
      </c>
      <c r="R239" s="104">
        <v>1</v>
      </c>
      <c r="S239" s="104">
        <f t="shared" si="338"/>
        <v>0</v>
      </c>
      <c r="T239" s="104"/>
      <c r="U239" s="26">
        <f t="shared" si="354"/>
        <v>572162</v>
      </c>
      <c r="V239" s="113">
        <f t="shared" si="354"/>
        <v>1</v>
      </c>
      <c r="W239" s="113">
        <v>572162</v>
      </c>
      <c r="X239" s="113">
        <f t="shared" si="355"/>
        <v>1</v>
      </c>
      <c r="Y239" s="113"/>
      <c r="Z239" s="113">
        <f t="shared" si="356"/>
        <v>0</v>
      </c>
      <c r="AA239" s="118">
        <v>0</v>
      </c>
      <c r="AB239" s="122"/>
      <c r="AC239" s="26">
        <f t="shared" si="346"/>
        <v>572162</v>
      </c>
      <c r="AD239" s="104">
        <f t="shared" si="346"/>
        <v>1</v>
      </c>
      <c r="AE239" s="104">
        <f>572162</f>
        <v>572162</v>
      </c>
      <c r="AF239" s="104">
        <f t="shared" si="357"/>
        <v>1</v>
      </c>
      <c r="AG239" s="104"/>
      <c r="AH239" s="104">
        <f t="shared" si="358"/>
        <v>0</v>
      </c>
      <c r="AI239" s="104">
        <f t="shared" si="361"/>
        <v>245212.28571428574</v>
      </c>
      <c r="AJ239" s="104"/>
      <c r="AK239" s="104">
        <v>1</v>
      </c>
      <c r="AL239" s="104">
        <v>399999</v>
      </c>
      <c r="AM239" s="104">
        <v>1</v>
      </c>
      <c r="AN239" s="104">
        <f t="shared" si="342"/>
        <v>-200000</v>
      </c>
      <c r="AO239" s="104"/>
      <c r="AP239" s="113">
        <f t="shared" si="362"/>
        <v>0</v>
      </c>
      <c r="AQ239" s="113"/>
      <c r="AR239" s="34">
        <f t="shared" si="345"/>
        <v>599999</v>
      </c>
      <c r="AS239" s="10">
        <f t="shared" si="345"/>
        <v>1</v>
      </c>
      <c r="AT239" s="10">
        <f>399999+200000</f>
        <v>599999</v>
      </c>
      <c r="AU239" s="10">
        <f t="shared" si="274"/>
        <v>1</v>
      </c>
      <c r="AV239" s="10"/>
      <c r="AW239" s="10">
        <f t="shared" si="275"/>
        <v>0</v>
      </c>
      <c r="AX239" s="10">
        <f t="shared" si="363"/>
        <v>257142.42857142858</v>
      </c>
      <c r="AY239" s="10">
        <v>1</v>
      </c>
      <c r="AZ239" s="10"/>
      <c r="BA239" s="10">
        <v>0</v>
      </c>
      <c r="BB239" s="10">
        <v>0</v>
      </c>
      <c r="BC239" s="10">
        <f t="shared" si="343"/>
        <v>0</v>
      </c>
      <c r="BD239" s="10"/>
      <c r="BE239" s="26">
        <f t="shared" si="309"/>
        <v>0</v>
      </c>
      <c r="BF239" s="104">
        <f t="shared" si="309"/>
        <v>0</v>
      </c>
      <c r="BG239" s="104"/>
      <c r="BH239" s="104">
        <f t="shared" si="333"/>
        <v>0</v>
      </c>
      <c r="BI239" s="104"/>
      <c r="BJ239" s="104">
        <f t="shared" si="359"/>
        <v>0</v>
      </c>
      <c r="BK239" s="104"/>
      <c r="BL239" s="104"/>
      <c r="BM239" s="104"/>
      <c r="BN239" s="104" t="s">
        <v>151</v>
      </c>
      <c r="BO239" s="104" t="s">
        <v>1681</v>
      </c>
      <c r="BP239" s="104" t="s">
        <v>1064</v>
      </c>
      <c r="BQ239" s="104" t="s">
        <v>1289</v>
      </c>
      <c r="BR239" s="104" t="s">
        <v>150</v>
      </c>
      <c r="BS239" s="104" t="s">
        <v>1153</v>
      </c>
      <c r="BT239" s="55" t="s">
        <v>1290</v>
      </c>
    </row>
    <row r="240" spans="1:77" ht="33" customHeight="1" outlineLevel="1" x14ac:dyDescent="0.25">
      <c r="A240" s="106"/>
      <c r="B240" s="59">
        <v>7</v>
      </c>
      <c r="C240" s="104" t="s">
        <v>125</v>
      </c>
      <c r="D240" s="104" t="s">
        <v>1149</v>
      </c>
      <c r="E240" s="104" t="s">
        <v>9</v>
      </c>
      <c r="F240" s="104">
        <v>1568093</v>
      </c>
      <c r="G240" s="104">
        <v>1564093</v>
      </c>
      <c r="H240" s="104">
        <v>1493414.77</v>
      </c>
      <c r="I240" s="104">
        <f t="shared" si="353"/>
        <v>70678.229999999981</v>
      </c>
      <c r="J240" s="104">
        <v>1</v>
      </c>
      <c r="K240" s="104">
        <v>1</v>
      </c>
      <c r="L240" s="104">
        <v>1</v>
      </c>
      <c r="M240" s="104">
        <v>596333</v>
      </c>
      <c r="N240" s="104">
        <f t="shared" si="360"/>
        <v>897081.42857142864</v>
      </c>
      <c r="O240" s="104">
        <v>677432</v>
      </c>
      <c r="P240" s="104">
        <v>1</v>
      </c>
      <c r="Q240" s="26">
        <v>677432</v>
      </c>
      <c r="R240" s="104">
        <v>1</v>
      </c>
      <c r="S240" s="104">
        <f t="shared" si="338"/>
        <v>49475</v>
      </c>
      <c r="T240" s="104"/>
      <c r="U240" s="26">
        <f t="shared" si="354"/>
        <v>627957</v>
      </c>
      <c r="V240" s="113">
        <f t="shared" si="354"/>
        <v>1</v>
      </c>
      <c r="W240" s="113">
        <v>627957</v>
      </c>
      <c r="X240" s="113">
        <f t="shared" si="355"/>
        <v>1</v>
      </c>
      <c r="Y240" s="113"/>
      <c r="Z240" s="113">
        <f t="shared" si="356"/>
        <v>0</v>
      </c>
      <c r="AA240" s="118">
        <v>0</v>
      </c>
      <c r="AB240" s="122"/>
      <c r="AC240" s="26">
        <f t="shared" si="346"/>
        <v>627957</v>
      </c>
      <c r="AD240" s="104">
        <f t="shared" si="346"/>
        <v>1</v>
      </c>
      <c r="AE240" s="104">
        <f>627957</f>
        <v>627957</v>
      </c>
      <c r="AF240" s="104">
        <f t="shared" si="357"/>
        <v>1</v>
      </c>
      <c r="AG240" s="104"/>
      <c r="AH240" s="104">
        <f t="shared" si="358"/>
        <v>0</v>
      </c>
      <c r="AI240" s="104">
        <f t="shared" si="361"/>
        <v>269124.42857142858</v>
      </c>
      <c r="AJ240" s="104">
        <v>1</v>
      </c>
      <c r="AK240" s="104"/>
      <c r="AL240" s="104">
        <v>0</v>
      </c>
      <c r="AM240" s="104">
        <v>0</v>
      </c>
      <c r="AN240" s="104">
        <f t="shared" si="342"/>
        <v>-311894</v>
      </c>
      <c r="AO240" s="104"/>
      <c r="AP240" s="113">
        <f t="shared" si="362"/>
        <v>0</v>
      </c>
      <c r="AQ240" s="113"/>
      <c r="AR240" s="34">
        <f t="shared" si="345"/>
        <v>311894</v>
      </c>
      <c r="AS240" s="10">
        <f t="shared" si="345"/>
        <v>1</v>
      </c>
      <c r="AT240" s="10">
        <f>211894+100000</f>
        <v>311894</v>
      </c>
      <c r="AU240" s="10">
        <f t="shared" si="274"/>
        <v>1</v>
      </c>
      <c r="AV240" s="10"/>
      <c r="AW240" s="10">
        <f t="shared" si="275"/>
        <v>0</v>
      </c>
      <c r="AX240" s="10">
        <f t="shared" si="363"/>
        <v>133668.85714285713</v>
      </c>
      <c r="AY240" s="10"/>
      <c r="AZ240" s="10"/>
      <c r="BA240" s="10">
        <v>0</v>
      </c>
      <c r="BB240" s="10">
        <v>0</v>
      </c>
      <c r="BC240" s="10">
        <f t="shared" si="343"/>
        <v>0</v>
      </c>
      <c r="BD240" s="10"/>
      <c r="BE240" s="26">
        <f t="shared" si="309"/>
        <v>0</v>
      </c>
      <c r="BF240" s="104">
        <f t="shared" si="309"/>
        <v>0</v>
      </c>
      <c r="BG240" s="104"/>
      <c r="BH240" s="104">
        <f t="shared" si="333"/>
        <v>0</v>
      </c>
      <c r="BI240" s="104"/>
      <c r="BJ240" s="104">
        <f t="shared" si="359"/>
        <v>0</v>
      </c>
      <c r="BK240" s="104"/>
      <c r="BL240" s="104"/>
      <c r="BM240" s="104"/>
      <c r="BN240" s="104" t="s">
        <v>126</v>
      </c>
      <c r="BO240" s="104" t="s">
        <v>1684</v>
      </c>
      <c r="BP240" s="104" t="s">
        <v>128</v>
      </c>
      <c r="BQ240" s="104" t="s">
        <v>1293</v>
      </c>
      <c r="BR240" s="104" t="s">
        <v>1048</v>
      </c>
      <c r="BS240" s="104" t="s">
        <v>127</v>
      </c>
      <c r="BT240" s="55" t="s">
        <v>1050</v>
      </c>
    </row>
    <row r="241" spans="1:77" ht="56.25" outlineLevel="1" x14ac:dyDescent="0.25">
      <c r="A241" s="106"/>
      <c r="B241" s="59">
        <v>8</v>
      </c>
      <c r="C241" s="104" t="s">
        <v>115</v>
      </c>
      <c r="D241" s="104" t="s">
        <v>116</v>
      </c>
      <c r="E241" s="104">
        <v>2015</v>
      </c>
      <c r="F241" s="104">
        <v>306706</v>
      </c>
      <c r="G241" s="104">
        <v>302706</v>
      </c>
      <c r="H241" s="104"/>
      <c r="I241" s="104"/>
      <c r="J241" s="104"/>
      <c r="K241" s="104"/>
      <c r="L241" s="104"/>
      <c r="M241" s="104">
        <v>0</v>
      </c>
      <c r="N241" s="104">
        <f t="shared" si="360"/>
        <v>0</v>
      </c>
      <c r="O241" s="104">
        <v>211894</v>
      </c>
      <c r="P241" s="104">
        <v>1</v>
      </c>
      <c r="Q241" s="26">
        <v>211894</v>
      </c>
      <c r="R241" s="104">
        <v>1</v>
      </c>
      <c r="S241" s="104">
        <f t="shared" si="338"/>
        <v>211894</v>
      </c>
      <c r="T241" s="104"/>
      <c r="U241" s="26">
        <f t="shared" si="354"/>
        <v>211894</v>
      </c>
      <c r="V241" s="113">
        <f t="shared" si="354"/>
        <v>1</v>
      </c>
      <c r="W241" s="113"/>
      <c r="X241" s="113">
        <f t="shared" si="355"/>
        <v>0</v>
      </c>
      <c r="Y241" s="113">
        <v>211894</v>
      </c>
      <c r="Z241" s="113">
        <f t="shared" si="356"/>
        <v>1</v>
      </c>
      <c r="AA241" s="118">
        <v>-211894</v>
      </c>
      <c r="AB241" s="122"/>
      <c r="AC241" s="26">
        <f t="shared" si="346"/>
        <v>0</v>
      </c>
      <c r="AD241" s="104">
        <f t="shared" si="346"/>
        <v>0</v>
      </c>
      <c r="AE241" s="104"/>
      <c r="AF241" s="104">
        <f t="shared" si="357"/>
        <v>0</v>
      </c>
      <c r="AG241" s="104"/>
      <c r="AH241" s="104">
        <f t="shared" si="358"/>
        <v>0</v>
      </c>
      <c r="AI241" s="104">
        <f t="shared" si="361"/>
        <v>0</v>
      </c>
      <c r="AJ241" s="104">
        <v>1</v>
      </c>
      <c r="AK241" s="104"/>
      <c r="AL241" s="104">
        <v>0</v>
      </c>
      <c r="AM241" s="104">
        <v>0</v>
      </c>
      <c r="AN241" s="104">
        <f t="shared" si="342"/>
        <v>0</v>
      </c>
      <c r="AO241" s="104"/>
      <c r="AP241" s="113">
        <f t="shared" si="362"/>
        <v>211894</v>
      </c>
      <c r="AQ241" s="113"/>
      <c r="AR241" s="34">
        <f t="shared" si="345"/>
        <v>0</v>
      </c>
      <c r="AS241" s="10">
        <f t="shared" si="345"/>
        <v>0</v>
      </c>
      <c r="AT241" s="10"/>
      <c r="AU241" s="10">
        <f t="shared" si="274"/>
        <v>0</v>
      </c>
      <c r="AV241" s="10"/>
      <c r="AW241" s="10">
        <f t="shared" si="275"/>
        <v>0</v>
      </c>
      <c r="AX241" s="10">
        <f t="shared" si="363"/>
        <v>0</v>
      </c>
      <c r="AY241" s="10"/>
      <c r="AZ241" s="10"/>
      <c r="BA241" s="10">
        <v>0</v>
      </c>
      <c r="BB241" s="10">
        <v>0</v>
      </c>
      <c r="BC241" s="10">
        <f t="shared" si="343"/>
        <v>0</v>
      </c>
      <c r="BD241" s="10"/>
      <c r="BE241" s="26">
        <f t="shared" si="309"/>
        <v>0</v>
      </c>
      <c r="BF241" s="104">
        <f t="shared" si="309"/>
        <v>0</v>
      </c>
      <c r="BG241" s="104"/>
      <c r="BH241" s="104">
        <f t="shared" si="333"/>
        <v>0</v>
      </c>
      <c r="BI241" s="104"/>
      <c r="BJ241" s="104">
        <f t="shared" si="359"/>
        <v>0</v>
      </c>
      <c r="BK241" s="104"/>
      <c r="BL241" s="104"/>
      <c r="BM241" s="104"/>
      <c r="BN241" s="104" t="s">
        <v>119</v>
      </c>
      <c r="BO241" s="104" t="s">
        <v>1685</v>
      </c>
      <c r="BP241" s="104" t="s">
        <v>1047</v>
      </c>
      <c r="BQ241" s="104" t="s">
        <v>1291</v>
      </c>
      <c r="BR241" s="104" t="s">
        <v>1048</v>
      </c>
      <c r="BS241" s="104" t="s">
        <v>117</v>
      </c>
      <c r="BT241" s="55" t="s">
        <v>142</v>
      </c>
    </row>
    <row r="242" spans="1:77" ht="32.25" customHeight="1" outlineLevel="1" x14ac:dyDescent="0.25">
      <c r="A242" s="106"/>
      <c r="B242" s="59">
        <v>9</v>
      </c>
      <c r="C242" s="104" t="s">
        <v>1719</v>
      </c>
      <c r="D242" s="104" t="s">
        <v>153</v>
      </c>
      <c r="E242" s="104" t="s">
        <v>1118</v>
      </c>
      <c r="F242" s="104">
        <v>1631931</v>
      </c>
      <c r="G242" s="104">
        <v>1618151</v>
      </c>
      <c r="H242" s="104"/>
      <c r="I242" s="104"/>
      <c r="J242" s="104"/>
      <c r="K242" s="104"/>
      <c r="L242" s="104"/>
      <c r="M242" s="104">
        <v>0</v>
      </c>
      <c r="N242" s="104">
        <f t="shared" si="360"/>
        <v>0</v>
      </c>
      <c r="O242" s="104">
        <v>566353</v>
      </c>
      <c r="P242" s="104">
        <v>1</v>
      </c>
      <c r="Q242" s="26">
        <v>0</v>
      </c>
      <c r="R242" s="104">
        <v>0</v>
      </c>
      <c r="S242" s="104">
        <f t="shared" si="338"/>
        <v>0</v>
      </c>
      <c r="T242" s="104"/>
      <c r="U242" s="26">
        <f t="shared" si="354"/>
        <v>0</v>
      </c>
      <c r="V242" s="113">
        <f t="shared" si="354"/>
        <v>0</v>
      </c>
      <c r="W242" s="113"/>
      <c r="X242" s="113">
        <f t="shared" si="355"/>
        <v>0</v>
      </c>
      <c r="Y242" s="113">
        <v>0</v>
      </c>
      <c r="Z242" s="113">
        <f t="shared" si="356"/>
        <v>0</v>
      </c>
      <c r="AA242" s="118">
        <v>0</v>
      </c>
      <c r="AB242" s="122"/>
      <c r="AC242" s="26">
        <f t="shared" si="346"/>
        <v>0</v>
      </c>
      <c r="AD242" s="104">
        <f t="shared" si="346"/>
        <v>0</v>
      </c>
      <c r="AE242" s="104"/>
      <c r="AF242" s="104">
        <f t="shared" si="357"/>
        <v>0</v>
      </c>
      <c r="AG242" s="104">
        <v>0</v>
      </c>
      <c r="AH242" s="104">
        <f t="shared" si="358"/>
        <v>0</v>
      </c>
      <c r="AI242" s="104">
        <f t="shared" si="361"/>
        <v>0</v>
      </c>
      <c r="AJ242" s="104"/>
      <c r="AK242" s="104"/>
      <c r="AL242" s="104">
        <v>900000</v>
      </c>
      <c r="AM242" s="104">
        <v>1</v>
      </c>
      <c r="AN242" s="104">
        <f t="shared" si="342"/>
        <v>0</v>
      </c>
      <c r="AO242" s="104"/>
      <c r="AP242" s="113">
        <f t="shared" si="362"/>
        <v>0</v>
      </c>
      <c r="AQ242" s="113"/>
      <c r="AR242" s="34">
        <f t="shared" si="345"/>
        <v>900000</v>
      </c>
      <c r="AS242" s="10">
        <f t="shared" si="345"/>
        <v>1</v>
      </c>
      <c r="AT242" s="10"/>
      <c r="AU242" s="10">
        <f t="shared" si="274"/>
        <v>0</v>
      </c>
      <c r="AV242" s="10">
        <v>900000</v>
      </c>
      <c r="AW242" s="10">
        <f t="shared" si="275"/>
        <v>1</v>
      </c>
      <c r="AX242" s="10">
        <f t="shared" si="363"/>
        <v>385714.28571428568</v>
      </c>
      <c r="AY242" s="10"/>
      <c r="AZ242" s="10">
        <v>1</v>
      </c>
      <c r="BA242" s="10">
        <v>232705</v>
      </c>
      <c r="BB242" s="10">
        <v>1</v>
      </c>
      <c r="BC242" s="10">
        <f t="shared" si="343"/>
        <v>0</v>
      </c>
      <c r="BD242" s="10"/>
      <c r="BE242" s="26">
        <f t="shared" si="309"/>
        <v>232705</v>
      </c>
      <c r="BF242" s="104">
        <f t="shared" si="309"/>
        <v>1</v>
      </c>
      <c r="BG242" s="104">
        <v>232705</v>
      </c>
      <c r="BH242" s="104">
        <f t="shared" si="333"/>
        <v>1</v>
      </c>
      <c r="BI242" s="104"/>
      <c r="BJ242" s="104">
        <f t="shared" si="359"/>
        <v>0</v>
      </c>
      <c r="BK242" s="104">
        <f>BE242/0.7*0.3</f>
        <v>99730.71428571429</v>
      </c>
      <c r="BL242" s="104">
        <v>1</v>
      </c>
      <c r="BM242" s="104"/>
      <c r="BN242" s="104" t="s">
        <v>152</v>
      </c>
      <c r="BO242" s="104" t="s">
        <v>1686</v>
      </c>
      <c r="BP242" s="104" t="s">
        <v>1288</v>
      </c>
      <c r="BQ242" s="104" t="s">
        <v>156</v>
      </c>
      <c r="BR242" s="104" t="s">
        <v>155</v>
      </c>
      <c r="BS242" s="104" t="s">
        <v>1066</v>
      </c>
      <c r="BT242" s="55" t="s">
        <v>154</v>
      </c>
    </row>
    <row r="243" spans="1:77" ht="49.5" customHeight="1" outlineLevel="1" x14ac:dyDescent="0.25">
      <c r="A243" s="106"/>
      <c r="B243" s="59">
        <v>10</v>
      </c>
      <c r="C243" s="104" t="s">
        <v>138</v>
      </c>
      <c r="D243" s="104" t="s">
        <v>139</v>
      </c>
      <c r="E243" s="104">
        <v>2016</v>
      </c>
      <c r="F243" s="104">
        <v>263369</v>
      </c>
      <c r="G243" s="104">
        <v>258369</v>
      </c>
      <c r="H243" s="104"/>
      <c r="I243" s="104"/>
      <c r="J243" s="104"/>
      <c r="K243" s="104"/>
      <c r="L243" s="104"/>
      <c r="M243" s="104">
        <v>0</v>
      </c>
      <c r="N243" s="104">
        <f t="shared" si="360"/>
        <v>0</v>
      </c>
      <c r="O243" s="104">
        <v>180858</v>
      </c>
      <c r="P243" s="104">
        <v>1</v>
      </c>
      <c r="Q243" s="26">
        <v>0</v>
      </c>
      <c r="R243" s="104">
        <v>0</v>
      </c>
      <c r="S243" s="104">
        <f t="shared" si="338"/>
        <v>0</v>
      </c>
      <c r="T243" s="104"/>
      <c r="U243" s="26">
        <f t="shared" si="354"/>
        <v>0</v>
      </c>
      <c r="V243" s="113">
        <f t="shared" si="354"/>
        <v>0</v>
      </c>
      <c r="W243" s="113"/>
      <c r="X243" s="113">
        <f t="shared" si="355"/>
        <v>0</v>
      </c>
      <c r="Y243" s="113"/>
      <c r="Z243" s="113">
        <f t="shared" si="356"/>
        <v>0</v>
      </c>
      <c r="AA243" s="118">
        <v>0</v>
      </c>
      <c r="AB243" s="122"/>
      <c r="AC243" s="26">
        <f t="shared" si="346"/>
        <v>0</v>
      </c>
      <c r="AD243" s="104">
        <f t="shared" si="346"/>
        <v>0</v>
      </c>
      <c r="AE243" s="104"/>
      <c r="AF243" s="104">
        <f t="shared" si="357"/>
        <v>0</v>
      </c>
      <c r="AG243" s="104"/>
      <c r="AH243" s="104">
        <f t="shared" si="358"/>
        <v>0</v>
      </c>
      <c r="AI243" s="104">
        <f t="shared" si="361"/>
        <v>0</v>
      </c>
      <c r="AJ243" s="104"/>
      <c r="AK243" s="104"/>
      <c r="AL243" s="104">
        <v>180858</v>
      </c>
      <c r="AM243" s="104">
        <v>1</v>
      </c>
      <c r="AN243" s="104">
        <f t="shared" si="342"/>
        <v>0</v>
      </c>
      <c r="AO243" s="104"/>
      <c r="AP243" s="113">
        <f t="shared" si="362"/>
        <v>0</v>
      </c>
      <c r="AQ243" s="113"/>
      <c r="AR243" s="34">
        <f t="shared" si="345"/>
        <v>180858</v>
      </c>
      <c r="AS243" s="10">
        <f t="shared" si="345"/>
        <v>1</v>
      </c>
      <c r="AT243" s="10">
        <v>0</v>
      </c>
      <c r="AU243" s="10">
        <f t="shared" si="274"/>
        <v>0</v>
      </c>
      <c r="AV243" s="10">
        <v>180858</v>
      </c>
      <c r="AW243" s="10">
        <f t="shared" si="275"/>
        <v>1</v>
      </c>
      <c r="AX243" s="10">
        <f t="shared" si="363"/>
        <v>77510.571428571435</v>
      </c>
      <c r="AY243" s="10">
        <v>1</v>
      </c>
      <c r="AZ243" s="10"/>
      <c r="BA243" s="10">
        <v>0</v>
      </c>
      <c r="BB243" s="10">
        <v>0</v>
      </c>
      <c r="BC243" s="10">
        <f t="shared" si="343"/>
        <v>0</v>
      </c>
      <c r="BD243" s="10"/>
      <c r="BE243" s="26">
        <f t="shared" si="309"/>
        <v>0</v>
      </c>
      <c r="BF243" s="104">
        <f t="shared" si="309"/>
        <v>0</v>
      </c>
      <c r="BG243" s="104"/>
      <c r="BH243" s="104">
        <f t="shared" si="333"/>
        <v>0</v>
      </c>
      <c r="BI243" s="104"/>
      <c r="BJ243" s="104">
        <f t="shared" si="359"/>
        <v>0</v>
      </c>
      <c r="BK243" s="104"/>
      <c r="BL243" s="104"/>
      <c r="BM243" s="104"/>
      <c r="BN243" s="104" t="s">
        <v>1058</v>
      </c>
      <c r="BO243" s="104" t="s">
        <v>1687</v>
      </c>
      <c r="BP243" s="104" t="s">
        <v>1059</v>
      </c>
      <c r="BQ243" s="104" t="s">
        <v>141</v>
      </c>
      <c r="BR243" s="104" t="s">
        <v>1060</v>
      </c>
      <c r="BS243" s="104" t="s">
        <v>1061</v>
      </c>
      <c r="BT243" s="55" t="s">
        <v>140</v>
      </c>
    </row>
    <row r="244" spans="1:77" ht="56.25" outlineLevel="1" x14ac:dyDescent="0.25">
      <c r="A244" s="106"/>
      <c r="B244" s="59">
        <v>11</v>
      </c>
      <c r="C244" s="104" t="s">
        <v>157</v>
      </c>
      <c r="D244" s="104" t="s">
        <v>159</v>
      </c>
      <c r="E244" s="104" t="s">
        <v>1118</v>
      </c>
      <c r="F244" s="104">
        <v>1315846</v>
      </c>
      <c r="G244" s="104">
        <v>1302925</v>
      </c>
      <c r="H244" s="104"/>
      <c r="I244" s="104"/>
      <c r="J244" s="104"/>
      <c r="K244" s="104"/>
      <c r="L244" s="104"/>
      <c r="M244" s="104">
        <v>0</v>
      </c>
      <c r="N244" s="104">
        <f t="shared" si="360"/>
        <v>0</v>
      </c>
      <c r="O244" s="104">
        <v>456024</v>
      </c>
      <c r="P244" s="104">
        <v>1</v>
      </c>
      <c r="Q244" s="26">
        <v>0</v>
      </c>
      <c r="R244" s="104">
        <v>0</v>
      </c>
      <c r="S244" s="104">
        <f t="shared" si="338"/>
        <v>0</v>
      </c>
      <c r="T244" s="104"/>
      <c r="U244" s="26">
        <f t="shared" si="354"/>
        <v>0</v>
      </c>
      <c r="V244" s="113">
        <f t="shared" si="354"/>
        <v>0</v>
      </c>
      <c r="W244" s="113"/>
      <c r="X244" s="113">
        <f t="shared" si="355"/>
        <v>0</v>
      </c>
      <c r="Y244" s="113"/>
      <c r="Z244" s="113">
        <f t="shared" si="356"/>
        <v>0</v>
      </c>
      <c r="AA244" s="118">
        <v>0</v>
      </c>
      <c r="AB244" s="122"/>
      <c r="AC244" s="26">
        <f t="shared" si="346"/>
        <v>0</v>
      </c>
      <c r="AD244" s="104">
        <f t="shared" si="346"/>
        <v>0</v>
      </c>
      <c r="AE244" s="104"/>
      <c r="AF244" s="104">
        <f t="shared" si="357"/>
        <v>0</v>
      </c>
      <c r="AG244" s="104"/>
      <c r="AH244" s="104">
        <f t="shared" si="358"/>
        <v>0</v>
      </c>
      <c r="AI244" s="104">
        <f t="shared" si="361"/>
        <v>0</v>
      </c>
      <c r="AJ244" s="104"/>
      <c r="AK244" s="104"/>
      <c r="AL244" s="104">
        <v>406023.5</v>
      </c>
      <c r="AM244" s="104">
        <v>1</v>
      </c>
      <c r="AN244" s="104">
        <f t="shared" si="342"/>
        <v>0</v>
      </c>
      <c r="AO244" s="104"/>
      <c r="AP244" s="113">
        <f t="shared" si="362"/>
        <v>0</v>
      </c>
      <c r="AQ244" s="113"/>
      <c r="AR244" s="34">
        <f>AV244</f>
        <v>406023.5</v>
      </c>
      <c r="AS244" s="10">
        <f t="shared" si="345"/>
        <v>1</v>
      </c>
      <c r="AT244" s="10"/>
      <c r="AU244" s="10">
        <f t="shared" si="274"/>
        <v>0</v>
      </c>
      <c r="AV244" s="10">
        <v>406023.5</v>
      </c>
      <c r="AW244" s="10">
        <f t="shared" si="275"/>
        <v>1</v>
      </c>
      <c r="AX244" s="10">
        <f>AR244/0.7*0.3</f>
        <v>174010.07142857145</v>
      </c>
      <c r="AY244" s="10"/>
      <c r="AZ244" s="10">
        <v>1</v>
      </c>
      <c r="BA244" s="10">
        <v>506023.5</v>
      </c>
      <c r="BB244" s="10">
        <v>1</v>
      </c>
      <c r="BC244" s="10">
        <f t="shared" si="343"/>
        <v>0</v>
      </c>
      <c r="BD244" s="10"/>
      <c r="BE244" s="26">
        <f t="shared" si="309"/>
        <v>506023.5</v>
      </c>
      <c r="BF244" s="104">
        <f t="shared" si="309"/>
        <v>1</v>
      </c>
      <c r="BG244" s="104">
        <v>506023.5</v>
      </c>
      <c r="BH244" s="104">
        <f t="shared" si="333"/>
        <v>1</v>
      </c>
      <c r="BI244" s="104"/>
      <c r="BJ244" s="104">
        <f t="shared" si="359"/>
        <v>0</v>
      </c>
      <c r="BK244" s="104">
        <v>216868</v>
      </c>
      <c r="BL244" s="104">
        <v>1</v>
      </c>
      <c r="BM244" s="104"/>
      <c r="BN244" s="104" t="s">
        <v>158</v>
      </c>
      <c r="BO244" s="104" t="s">
        <v>1688</v>
      </c>
      <c r="BP244" s="104" t="s">
        <v>160</v>
      </c>
      <c r="BQ244" s="104" t="s">
        <v>1065</v>
      </c>
      <c r="BR244" s="104" t="s">
        <v>1147</v>
      </c>
      <c r="BS244" s="104" t="s">
        <v>1066</v>
      </c>
      <c r="BT244" s="55" t="s">
        <v>1067</v>
      </c>
    </row>
    <row r="245" spans="1:77" ht="56.25" outlineLevel="1" x14ac:dyDescent="0.25">
      <c r="A245" s="106"/>
      <c r="B245" s="59">
        <v>12</v>
      </c>
      <c r="C245" s="104" t="s">
        <v>131</v>
      </c>
      <c r="D245" s="104" t="s">
        <v>132</v>
      </c>
      <c r="E245" s="104" t="s">
        <v>10</v>
      </c>
      <c r="F245" s="104">
        <v>642718</v>
      </c>
      <c r="G245" s="104">
        <v>638718</v>
      </c>
      <c r="H245" s="104"/>
      <c r="I245" s="104"/>
      <c r="J245" s="104"/>
      <c r="K245" s="104"/>
      <c r="L245" s="104"/>
      <c r="M245" s="104">
        <v>0</v>
      </c>
      <c r="N245" s="104">
        <f t="shared" si="360"/>
        <v>0</v>
      </c>
      <c r="O245" s="104">
        <v>447103</v>
      </c>
      <c r="P245" s="104">
        <v>1</v>
      </c>
      <c r="Q245" s="26">
        <v>118106</v>
      </c>
      <c r="R245" s="104">
        <v>1</v>
      </c>
      <c r="S245" s="104">
        <f t="shared" si="338"/>
        <v>118106</v>
      </c>
      <c r="T245" s="104"/>
      <c r="U245" s="26">
        <f t="shared" si="354"/>
        <v>118106</v>
      </c>
      <c r="V245" s="113">
        <f t="shared" si="354"/>
        <v>1</v>
      </c>
      <c r="W245" s="113"/>
      <c r="X245" s="113">
        <f t="shared" si="355"/>
        <v>0</v>
      </c>
      <c r="Y245" s="113">
        <v>118106</v>
      </c>
      <c r="Z245" s="113">
        <f t="shared" si="356"/>
        <v>1</v>
      </c>
      <c r="AA245" s="118">
        <v>-118106</v>
      </c>
      <c r="AB245" s="122"/>
      <c r="AC245" s="26">
        <f t="shared" si="346"/>
        <v>0</v>
      </c>
      <c r="AD245" s="104">
        <f t="shared" si="346"/>
        <v>0</v>
      </c>
      <c r="AE245" s="104"/>
      <c r="AF245" s="104">
        <f t="shared" si="357"/>
        <v>0</v>
      </c>
      <c r="AG245" s="104"/>
      <c r="AH245" s="104">
        <f t="shared" si="358"/>
        <v>0</v>
      </c>
      <c r="AI245" s="104">
        <f>AC245/0.7*0.3</f>
        <v>0</v>
      </c>
      <c r="AJ245" s="104"/>
      <c r="AK245" s="104">
        <v>1</v>
      </c>
      <c r="AL245" s="104">
        <v>328997</v>
      </c>
      <c r="AM245" s="104">
        <v>1</v>
      </c>
      <c r="AN245" s="104">
        <f t="shared" si="342"/>
        <v>0</v>
      </c>
      <c r="AO245" s="104"/>
      <c r="AP245" s="113">
        <f t="shared" si="362"/>
        <v>118106</v>
      </c>
      <c r="AQ245" s="113"/>
      <c r="AR245" s="34">
        <f t="shared" si="345"/>
        <v>328997</v>
      </c>
      <c r="AS245" s="10">
        <f t="shared" si="345"/>
        <v>1</v>
      </c>
      <c r="AT245" s="10">
        <f>328997</f>
        <v>328997</v>
      </c>
      <c r="AU245" s="10">
        <f t="shared" si="274"/>
        <v>1</v>
      </c>
      <c r="AV245" s="10"/>
      <c r="AW245" s="10">
        <f t="shared" si="275"/>
        <v>0</v>
      </c>
      <c r="AX245" s="10">
        <f>AR245/0.7*0.3</f>
        <v>140998.71428571429</v>
      </c>
      <c r="AY245" s="10">
        <v>1</v>
      </c>
      <c r="AZ245" s="10"/>
      <c r="BA245" s="10">
        <v>0</v>
      </c>
      <c r="BB245" s="10">
        <v>0</v>
      </c>
      <c r="BC245" s="10">
        <f t="shared" si="343"/>
        <v>0</v>
      </c>
      <c r="BD245" s="10"/>
      <c r="BE245" s="26">
        <f t="shared" si="309"/>
        <v>0</v>
      </c>
      <c r="BF245" s="104">
        <f t="shared" si="309"/>
        <v>0</v>
      </c>
      <c r="BG245" s="104"/>
      <c r="BH245" s="104">
        <f t="shared" si="333"/>
        <v>0</v>
      </c>
      <c r="BI245" s="104"/>
      <c r="BJ245" s="104">
        <f t="shared" si="359"/>
        <v>0</v>
      </c>
      <c r="BK245" s="104"/>
      <c r="BL245" s="104"/>
      <c r="BM245" s="104"/>
      <c r="BN245" s="104" t="s">
        <v>1056</v>
      </c>
      <c r="BO245" s="104" t="s">
        <v>1689</v>
      </c>
      <c r="BP245" s="104" t="s">
        <v>133</v>
      </c>
      <c r="BQ245" s="104" t="s">
        <v>1289</v>
      </c>
      <c r="BR245" s="104" t="s">
        <v>1048</v>
      </c>
      <c r="BS245" s="104" t="s">
        <v>134</v>
      </c>
      <c r="BT245" s="55" t="s">
        <v>1057</v>
      </c>
    </row>
    <row r="246" spans="1:77" s="35" customFormat="1" ht="11.25" x14ac:dyDescent="0.25">
      <c r="A246" s="48"/>
      <c r="B246" s="60">
        <f>B247+B266</f>
        <v>10</v>
      </c>
      <c r="C246" s="26" t="s">
        <v>541</v>
      </c>
      <c r="D246" s="26"/>
      <c r="E246" s="26"/>
      <c r="F246" s="26">
        <f>F247+F266</f>
        <v>17805570.600000001</v>
      </c>
      <c r="G246" s="26">
        <f>G247+G266</f>
        <v>16656323</v>
      </c>
      <c r="H246" s="26"/>
      <c r="I246" s="26"/>
      <c r="J246" s="26"/>
      <c r="K246" s="26"/>
      <c r="L246" s="26"/>
      <c r="M246" s="26">
        <f>M247+M266</f>
        <v>1680010</v>
      </c>
      <c r="N246" s="26">
        <f>N247+N266</f>
        <v>562767.5</v>
      </c>
      <c r="O246" s="26">
        <v>3352932</v>
      </c>
      <c r="P246" s="26">
        <v>6</v>
      </c>
      <c r="Q246" s="26">
        <v>2000757</v>
      </c>
      <c r="R246" s="26">
        <v>7</v>
      </c>
      <c r="S246" s="26">
        <f t="shared" ref="S246:AI246" si="364">S247+S266</f>
        <v>1550543</v>
      </c>
      <c r="T246" s="26">
        <f t="shared" si="364"/>
        <v>0</v>
      </c>
      <c r="U246" s="26">
        <f t="shared" ref="U246:V246" si="365">U247+U266</f>
        <v>3239833</v>
      </c>
      <c r="V246" s="26">
        <f t="shared" si="365"/>
        <v>19</v>
      </c>
      <c r="W246" s="26">
        <f t="shared" ref="W246:Z246" si="366">W247+W266</f>
        <v>430258</v>
      </c>
      <c r="X246" s="26">
        <f t="shared" si="366"/>
        <v>2</v>
      </c>
      <c r="Y246" s="26">
        <f t="shared" si="366"/>
        <v>2809575</v>
      </c>
      <c r="Z246" s="26">
        <f t="shared" si="366"/>
        <v>17</v>
      </c>
      <c r="AA246" s="26">
        <f t="shared" ref="AA246:AB246" si="367">AA247+AA266</f>
        <v>-2809575</v>
      </c>
      <c r="AB246" s="26">
        <f t="shared" si="367"/>
        <v>19956</v>
      </c>
      <c r="AC246" s="26">
        <f t="shared" si="364"/>
        <v>450214</v>
      </c>
      <c r="AD246" s="26">
        <f t="shared" si="364"/>
        <v>2</v>
      </c>
      <c r="AE246" s="26">
        <f t="shared" si="364"/>
        <v>450214</v>
      </c>
      <c r="AF246" s="26">
        <f t="shared" si="364"/>
        <v>2</v>
      </c>
      <c r="AG246" s="26">
        <f t="shared" si="364"/>
        <v>0</v>
      </c>
      <c r="AH246" s="26">
        <f t="shared" si="364"/>
        <v>0</v>
      </c>
      <c r="AI246" s="26">
        <f t="shared" si="364"/>
        <v>112553.5</v>
      </c>
      <c r="AJ246" s="26">
        <f t="shared" ref="AJ246:AQ246" si="368">AJ247+AJ266</f>
        <v>2</v>
      </c>
      <c r="AK246" s="26">
        <f t="shared" si="368"/>
        <v>17</v>
      </c>
      <c r="AL246" s="26">
        <f t="shared" si="368"/>
        <v>3878644</v>
      </c>
      <c r="AM246" s="26">
        <f t="shared" si="368"/>
        <v>8</v>
      </c>
      <c r="AN246" s="26">
        <f t="shared" si="368"/>
        <v>-4445982</v>
      </c>
      <c r="AO246" s="26">
        <f t="shared" si="368"/>
        <v>0</v>
      </c>
      <c r="AP246" s="26">
        <f t="shared" si="368"/>
        <v>2789619</v>
      </c>
      <c r="AQ246" s="26">
        <f t="shared" si="368"/>
        <v>0</v>
      </c>
      <c r="AR246" s="26">
        <f t="shared" ref="AR246:AZ246" si="369">AR247+AR266</f>
        <v>8324626</v>
      </c>
      <c r="AS246" s="26">
        <f t="shared" si="369"/>
        <v>17</v>
      </c>
      <c r="AT246" s="26">
        <f t="shared" si="369"/>
        <v>801116</v>
      </c>
      <c r="AU246" s="26">
        <f t="shared" si="369"/>
        <v>4</v>
      </c>
      <c r="AV246" s="26">
        <f t="shared" si="369"/>
        <v>7523510</v>
      </c>
      <c r="AW246" s="26">
        <f t="shared" si="369"/>
        <v>13</v>
      </c>
      <c r="AX246" s="26">
        <f t="shared" si="369"/>
        <v>2009138</v>
      </c>
      <c r="AY246" s="26">
        <f t="shared" si="369"/>
        <v>19</v>
      </c>
      <c r="AZ246" s="26">
        <f t="shared" si="369"/>
        <v>1</v>
      </c>
      <c r="BA246" s="26">
        <v>3399579</v>
      </c>
      <c r="BB246" s="26">
        <v>5</v>
      </c>
      <c r="BC246" s="34">
        <f t="shared" si="343"/>
        <v>835120</v>
      </c>
      <c r="BD246" s="26"/>
      <c r="BE246" s="26">
        <f t="shared" ref="BE246:BT246" si="370">BE247+BE266</f>
        <v>2564459</v>
      </c>
      <c r="BF246" s="26">
        <f t="shared" si="370"/>
        <v>1</v>
      </c>
      <c r="BG246" s="26">
        <f t="shared" si="370"/>
        <v>2564459</v>
      </c>
      <c r="BH246" s="26">
        <f t="shared" si="370"/>
        <v>1</v>
      </c>
      <c r="BI246" s="26">
        <f t="shared" si="370"/>
        <v>0</v>
      </c>
      <c r="BJ246" s="26">
        <f t="shared" si="370"/>
        <v>0</v>
      </c>
      <c r="BK246" s="26">
        <f t="shared" si="370"/>
        <v>641114.75</v>
      </c>
      <c r="BL246" s="26">
        <f t="shared" si="370"/>
        <v>1</v>
      </c>
      <c r="BM246" s="26">
        <f t="shared" si="370"/>
        <v>0</v>
      </c>
      <c r="BN246" s="26">
        <f t="shared" si="370"/>
        <v>0</v>
      </c>
      <c r="BO246" s="26">
        <f t="shared" si="370"/>
        <v>0</v>
      </c>
      <c r="BP246" s="26">
        <f t="shared" si="370"/>
        <v>0</v>
      </c>
      <c r="BQ246" s="26">
        <f t="shared" si="370"/>
        <v>0</v>
      </c>
      <c r="BR246" s="26">
        <f t="shared" si="370"/>
        <v>0</v>
      </c>
      <c r="BS246" s="26">
        <f t="shared" si="370"/>
        <v>0</v>
      </c>
      <c r="BT246" s="58">
        <f t="shared" si="370"/>
        <v>0</v>
      </c>
      <c r="BU246" s="25"/>
      <c r="BV246" s="25"/>
      <c r="BW246" s="25"/>
      <c r="BX246" s="25"/>
      <c r="BY246" s="25"/>
    </row>
    <row r="247" spans="1:77" ht="11.25" outlineLevel="1" x14ac:dyDescent="0.25">
      <c r="A247" s="106"/>
      <c r="B247" s="107">
        <v>6</v>
      </c>
      <c r="C247" s="104" t="s">
        <v>198</v>
      </c>
      <c r="D247" s="104"/>
      <c r="E247" s="104"/>
      <c r="F247" s="104">
        <f>SUM(F248:F265)</f>
        <v>14518266</v>
      </c>
      <c r="G247" s="104">
        <f t="shared" ref="G247:BM247" si="371">SUM(G248:G265)</f>
        <v>13463918</v>
      </c>
      <c r="H247" s="104">
        <f t="shared" si="371"/>
        <v>2242778</v>
      </c>
      <c r="I247" s="104">
        <f t="shared" si="371"/>
        <v>98305</v>
      </c>
      <c r="J247" s="104">
        <f t="shared" si="371"/>
        <v>2</v>
      </c>
      <c r="K247" s="104">
        <f t="shared" si="371"/>
        <v>0</v>
      </c>
      <c r="L247" s="104">
        <f t="shared" si="371"/>
        <v>0</v>
      </c>
      <c r="M247" s="104">
        <f t="shared" si="371"/>
        <v>1680010</v>
      </c>
      <c r="N247" s="104">
        <f t="shared" si="371"/>
        <v>562767.5</v>
      </c>
      <c r="O247" s="104">
        <f t="shared" si="371"/>
        <v>1615242</v>
      </c>
      <c r="P247" s="104">
        <f t="shared" si="371"/>
        <v>4</v>
      </c>
      <c r="Q247" s="104">
        <f t="shared" si="371"/>
        <v>1550757</v>
      </c>
      <c r="R247" s="104">
        <f t="shared" si="371"/>
        <v>5</v>
      </c>
      <c r="S247" s="104">
        <f t="shared" si="371"/>
        <v>1100543</v>
      </c>
      <c r="T247" s="104">
        <f t="shared" si="371"/>
        <v>0</v>
      </c>
      <c r="U247" s="26">
        <f t="shared" ref="U247:V247" si="372">SUM(U248:U265)</f>
        <v>2789833</v>
      </c>
      <c r="V247" s="113">
        <f t="shared" si="372"/>
        <v>17</v>
      </c>
      <c r="W247" s="118">
        <f t="shared" ref="W247:Z247" si="373">SUM(W248:W265)</f>
        <v>430258</v>
      </c>
      <c r="X247" s="118">
        <f t="shared" si="373"/>
        <v>2</v>
      </c>
      <c r="Y247" s="118">
        <f t="shared" si="373"/>
        <v>2359575</v>
      </c>
      <c r="Z247" s="118">
        <f t="shared" si="373"/>
        <v>15</v>
      </c>
      <c r="AA247" s="122">
        <f t="shared" ref="AA247:AB247" si="374">SUM(AA248:AA265)</f>
        <v>-2359575</v>
      </c>
      <c r="AB247" s="122">
        <f t="shared" si="374"/>
        <v>19956</v>
      </c>
      <c r="AC247" s="26">
        <f t="shared" si="371"/>
        <v>450214</v>
      </c>
      <c r="AD247" s="104">
        <f t="shared" si="371"/>
        <v>2</v>
      </c>
      <c r="AE247" s="104">
        <f t="shared" si="371"/>
        <v>450214</v>
      </c>
      <c r="AF247" s="104">
        <f t="shared" si="371"/>
        <v>2</v>
      </c>
      <c r="AG247" s="104">
        <f t="shared" si="371"/>
        <v>0</v>
      </c>
      <c r="AH247" s="104">
        <f t="shared" si="371"/>
        <v>0</v>
      </c>
      <c r="AI247" s="104">
        <f t="shared" si="371"/>
        <v>112553.5</v>
      </c>
      <c r="AJ247" s="113">
        <f t="shared" ref="AJ247:AQ247" si="375">SUM(AJ248:AJ265)</f>
        <v>2</v>
      </c>
      <c r="AK247" s="113">
        <f t="shared" si="375"/>
        <v>15</v>
      </c>
      <c r="AL247" s="113">
        <f t="shared" si="375"/>
        <v>2236650</v>
      </c>
      <c r="AM247" s="113">
        <f t="shared" si="375"/>
        <v>4</v>
      </c>
      <c r="AN247" s="113">
        <f t="shared" si="375"/>
        <v>-3995982</v>
      </c>
      <c r="AO247" s="113">
        <f t="shared" si="375"/>
        <v>0</v>
      </c>
      <c r="AP247" s="113">
        <f t="shared" si="375"/>
        <v>2339619</v>
      </c>
      <c r="AQ247" s="113">
        <f t="shared" si="375"/>
        <v>0</v>
      </c>
      <c r="AR247" s="104">
        <f t="shared" si="371"/>
        <v>6232632</v>
      </c>
      <c r="AS247" s="104">
        <f t="shared" si="371"/>
        <v>14</v>
      </c>
      <c r="AT247" s="104">
        <f t="shared" si="371"/>
        <v>192077</v>
      </c>
      <c r="AU247" s="104">
        <f t="shared" si="371"/>
        <v>2</v>
      </c>
      <c r="AV247" s="104">
        <f t="shared" si="371"/>
        <v>6040555</v>
      </c>
      <c r="AW247" s="104">
        <f t="shared" si="371"/>
        <v>12</v>
      </c>
      <c r="AX247" s="104">
        <f t="shared" si="371"/>
        <v>1558158</v>
      </c>
      <c r="AY247" s="104">
        <f t="shared" si="371"/>
        <v>15</v>
      </c>
      <c r="AZ247" s="104">
        <f t="shared" si="371"/>
        <v>1</v>
      </c>
      <c r="BA247" s="104">
        <f t="shared" si="371"/>
        <v>2564459</v>
      </c>
      <c r="BB247" s="104">
        <f t="shared" si="371"/>
        <v>1</v>
      </c>
      <c r="BC247" s="104">
        <f t="shared" si="371"/>
        <v>0</v>
      </c>
      <c r="BD247" s="104">
        <f t="shared" si="371"/>
        <v>0</v>
      </c>
      <c r="BE247" s="104">
        <f t="shared" si="371"/>
        <v>2564459</v>
      </c>
      <c r="BF247" s="104">
        <f t="shared" si="371"/>
        <v>1</v>
      </c>
      <c r="BG247" s="104">
        <f t="shared" si="371"/>
        <v>2564459</v>
      </c>
      <c r="BH247" s="104">
        <f t="shared" si="371"/>
        <v>1</v>
      </c>
      <c r="BI247" s="104">
        <f t="shared" si="371"/>
        <v>0</v>
      </c>
      <c r="BJ247" s="104">
        <f t="shared" si="371"/>
        <v>0</v>
      </c>
      <c r="BK247" s="104">
        <f t="shared" si="371"/>
        <v>641114.75</v>
      </c>
      <c r="BL247" s="104">
        <f t="shared" si="371"/>
        <v>1</v>
      </c>
      <c r="BM247" s="104">
        <f t="shared" si="371"/>
        <v>0</v>
      </c>
      <c r="BN247" s="104">
        <f t="shared" ref="BN247:BT247" si="376">SUM(BN249:BN253)</f>
        <v>0</v>
      </c>
      <c r="BO247" s="104">
        <f t="shared" si="376"/>
        <v>0</v>
      </c>
      <c r="BP247" s="104">
        <f t="shared" si="376"/>
        <v>0</v>
      </c>
      <c r="BQ247" s="104">
        <f t="shared" si="376"/>
        <v>0</v>
      </c>
      <c r="BR247" s="104">
        <f t="shared" si="376"/>
        <v>0</v>
      </c>
      <c r="BS247" s="104">
        <f t="shared" si="376"/>
        <v>0</v>
      </c>
      <c r="BT247" s="55">
        <f t="shared" si="376"/>
        <v>0</v>
      </c>
    </row>
    <row r="248" spans="1:77" ht="56.25" customHeight="1" outlineLevel="1" x14ac:dyDescent="0.25">
      <c r="A248" s="106"/>
      <c r="B248" s="107">
        <v>1</v>
      </c>
      <c r="C248" s="104" t="s">
        <v>1714</v>
      </c>
      <c r="D248" s="104" t="s">
        <v>1720</v>
      </c>
      <c r="E248" s="104" t="s">
        <v>10</v>
      </c>
      <c r="F248" s="104">
        <v>942417</v>
      </c>
      <c r="G248" s="104"/>
      <c r="H248" s="104"/>
      <c r="I248" s="104"/>
      <c r="J248" s="104"/>
      <c r="K248" s="104"/>
      <c r="L248" s="104"/>
      <c r="M248" s="104">
        <v>0</v>
      </c>
      <c r="N248" s="104">
        <f>AC248+AI248</f>
        <v>0</v>
      </c>
      <c r="O248" s="104">
        <v>676899</v>
      </c>
      <c r="P248" s="104">
        <v>1</v>
      </c>
      <c r="Q248" s="26">
        <v>676899</v>
      </c>
      <c r="R248" s="104">
        <v>1</v>
      </c>
      <c r="S248" s="104">
        <f t="shared" si="338"/>
        <v>676899</v>
      </c>
      <c r="T248" s="104"/>
      <c r="U248" s="26">
        <f t="shared" ref="U248:V265" si="377">W248+Y248</f>
        <v>676899</v>
      </c>
      <c r="V248" s="113">
        <v>1</v>
      </c>
      <c r="W248" s="113"/>
      <c r="X248" s="113"/>
      <c r="Y248" s="113">
        <v>676899</v>
      </c>
      <c r="Z248" s="113">
        <f t="shared" ref="Z248:Z265" si="378">IF(Y248,1,0)</f>
        <v>1</v>
      </c>
      <c r="AA248" s="118">
        <v>-676899</v>
      </c>
      <c r="AB248" s="122"/>
      <c r="AC248" s="26">
        <f t="shared" ref="AC248" si="379">AE248+AG248</f>
        <v>0</v>
      </c>
      <c r="AD248" s="118">
        <f t="shared" ref="AD248" si="380">AF248+AH248</f>
        <v>0</v>
      </c>
      <c r="AE248" s="104"/>
      <c r="AF248" s="104"/>
      <c r="AG248" s="104"/>
      <c r="AH248" s="104">
        <f t="shared" ref="AH248:AH265" si="381">IF(AG248,1,0)</f>
        <v>0</v>
      </c>
      <c r="AI248" s="104">
        <f>AC248/0.8*0.2</f>
        <v>0</v>
      </c>
      <c r="AJ248" s="104"/>
      <c r="AK248" s="104">
        <v>1</v>
      </c>
      <c r="AL248" s="104">
        <v>61930</v>
      </c>
      <c r="AM248" s="104">
        <v>1</v>
      </c>
      <c r="AN248" s="104">
        <f t="shared" si="342"/>
        <v>-676899</v>
      </c>
      <c r="AO248" s="104"/>
      <c r="AP248" s="113">
        <f>U248-AC248</f>
        <v>676899</v>
      </c>
      <c r="AQ248" s="113"/>
      <c r="AR248" s="34">
        <f t="shared" si="345"/>
        <v>738829</v>
      </c>
      <c r="AS248" s="104">
        <v>1</v>
      </c>
      <c r="AT248" s="104"/>
      <c r="AU248" s="104">
        <v>1</v>
      </c>
      <c r="AV248" s="104">
        <f>61930+676899</f>
        <v>738829</v>
      </c>
      <c r="AW248" s="104"/>
      <c r="AX248" s="10">
        <f>AR248/0.8*0.2</f>
        <v>184707.25</v>
      </c>
      <c r="AY248" s="10">
        <v>1</v>
      </c>
      <c r="AZ248" s="10"/>
      <c r="BA248" s="104"/>
      <c r="BB248" s="104"/>
      <c r="BC248" s="10">
        <f t="shared" si="343"/>
        <v>0</v>
      </c>
      <c r="BD248" s="104"/>
      <c r="BE248" s="26"/>
      <c r="BF248" s="104"/>
      <c r="BG248" s="104"/>
      <c r="BH248" s="104"/>
      <c r="BI248" s="104"/>
      <c r="BJ248" s="104"/>
      <c r="BK248" s="104"/>
      <c r="BL248" s="104"/>
      <c r="BM248" s="104"/>
      <c r="BN248" s="104" t="s">
        <v>1816</v>
      </c>
      <c r="BO248" s="104" t="s">
        <v>1817</v>
      </c>
      <c r="BP248" s="104" t="s">
        <v>1818</v>
      </c>
      <c r="BQ248" s="104" t="s">
        <v>1819</v>
      </c>
      <c r="BR248" s="104" t="s">
        <v>1820</v>
      </c>
      <c r="BS248" s="104" t="s">
        <v>1821</v>
      </c>
      <c r="BT248" s="104" t="s">
        <v>1822</v>
      </c>
      <c r="BU248" s="3" t="s">
        <v>1724</v>
      </c>
    </row>
    <row r="249" spans="1:77" ht="39.75" customHeight="1" outlineLevel="1" x14ac:dyDescent="0.25">
      <c r="A249" s="106"/>
      <c r="B249" s="107">
        <v>2</v>
      </c>
      <c r="C249" s="104" t="s">
        <v>314</v>
      </c>
      <c r="D249" s="104" t="s">
        <v>315</v>
      </c>
      <c r="E249" s="104" t="s">
        <v>196</v>
      </c>
      <c r="F249" s="104">
        <v>1848506</v>
      </c>
      <c r="G249" s="104">
        <v>1835870</v>
      </c>
      <c r="H249" s="104">
        <v>1759733</v>
      </c>
      <c r="I249" s="104">
        <f t="shared" ref="I249:I250" si="382">G249-H249</f>
        <v>76137</v>
      </c>
      <c r="J249" s="104">
        <v>1</v>
      </c>
      <c r="K249" s="104"/>
      <c r="L249" s="104"/>
      <c r="M249" s="104">
        <v>1430010</v>
      </c>
      <c r="N249" s="104">
        <f>AC249+AI249</f>
        <v>329722.5</v>
      </c>
      <c r="O249" s="104">
        <v>481631</v>
      </c>
      <c r="P249" s="104">
        <v>1</v>
      </c>
      <c r="Q249" s="26">
        <v>304732</v>
      </c>
      <c r="R249" s="104">
        <v>1</v>
      </c>
      <c r="S249" s="104">
        <f t="shared" si="338"/>
        <v>40954</v>
      </c>
      <c r="T249" s="104"/>
      <c r="U249" s="26">
        <f t="shared" si="377"/>
        <v>243822</v>
      </c>
      <c r="V249" s="113">
        <f t="shared" si="377"/>
        <v>1</v>
      </c>
      <c r="W249" s="113">
        <v>243822</v>
      </c>
      <c r="X249" s="113">
        <f t="shared" ref="X249:X265" si="383">IF(W249,1,0)</f>
        <v>1</v>
      </c>
      <c r="Y249" s="113"/>
      <c r="Z249" s="113">
        <f t="shared" si="378"/>
        <v>0</v>
      </c>
      <c r="AA249" s="118"/>
      <c r="AB249" s="122">
        <v>19956</v>
      </c>
      <c r="AC249" s="26">
        <f t="shared" si="346"/>
        <v>263778</v>
      </c>
      <c r="AD249" s="104">
        <f t="shared" si="346"/>
        <v>1</v>
      </c>
      <c r="AE249" s="104">
        <f>243822+19956</f>
        <v>263778</v>
      </c>
      <c r="AF249" s="104">
        <f t="shared" ref="AF249:AF265" si="384">IF(AE249,1,0)</f>
        <v>1</v>
      </c>
      <c r="AG249" s="104"/>
      <c r="AH249" s="104">
        <f t="shared" si="381"/>
        <v>0</v>
      </c>
      <c r="AI249" s="104">
        <f t="shared" ref="AI249:AI265" si="385">AC249/0.8*0.2</f>
        <v>65944.5</v>
      </c>
      <c r="AJ249" s="104">
        <v>1</v>
      </c>
      <c r="AK249" s="104"/>
      <c r="AL249" s="104">
        <v>0</v>
      </c>
      <c r="AM249" s="104"/>
      <c r="AN249" s="104">
        <f t="shared" si="342"/>
        <v>-19995</v>
      </c>
      <c r="AO249" s="104"/>
      <c r="AP249" s="113">
        <f t="shared" ref="AP249:AP270" si="386">U249-AC249</f>
        <v>-19956</v>
      </c>
      <c r="AQ249" s="113"/>
      <c r="AR249" s="34">
        <f t="shared" si="345"/>
        <v>19995</v>
      </c>
      <c r="AS249" s="10"/>
      <c r="AT249" s="10">
        <v>19995</v>
      </c>
      <c r="AU249" s="10">
        <v>0</v>
      </c>
      <c r="AV249" s="10">
        <v>0</v>
      </c>
      <c r="AW249" s="10">
        <v>0</v>
      </c>
      <c r="AX249" s="10">
        <f t="shared" ref="AX249:AX265" si="387">AR249/0.8*0.2</f>
        <v>4998.75</v>
      </c>
      <c r="AY249" s="10"/>
      <c r="AZ249" s="10"/>
      <c r="BA249" s="10">
        <v>0</v>
      </c>
      <c r="BB249" s="10">
        <v>0</v>
      </c>
      <c r="BC249" s="10">
        <f t="shared" si="343"/>
        <v>0</v>
      </c>
      <c r="BD249" s="10"/>
      <c r="BE249" s="26">
        <f t="shared" ref="BE249:BF316" si="388">BG249+BI249</f>
        <v>0</v>
      </c>
      <c r="BF249" s="104">
        <f t="shared" si="388"/>
        <v>0</v>
      </c>
      <c r="BG249" s="104"/>
      <c r="BH249" s="104">
        <f t="shared" ref="BH249:BH316" si="389">IF(BG249,1,0)</f>
        <v>0</v>
      </c>
      <c r="BI249" s="104"/>
      <c r="BJ249" s="104">
        <f t="shared" ref="BJ249:BJ316" si="390">IF(BI249,1,0)</f>
        <v>0</v>
      </c>
      <c r="BK249" s="104"/>
      <c r="BL249" s="104"/>
      <c r="BM249" s="104"/>
      <c r="BN249" s="104" t="s">
        <v>920</v>
      </c>
      <c r="BO249" s="104" t="s">
        <v>1690</v>
      </c>
      <c r="BP249" s="104" t="s">
        <v>1041</v>
      </c>
      <c r="BQ249" s="104" t="s">
        <v>1044</v>
      </c>
      <c r="BR249" s="104" t="s">
        <v>1042</v>
      </c>
      <c r="BS249" s="104" t="s">
        <v>1045</v>
      </c>
      <c r="BT249" s="55" t="s">
        <v>1043</v>
      </c>
    </row>
    <row r="250" spans="1:77" ht="60.75" customHeight="1" outlineLevel="1" x14ac:dyDescent="0.25">
      <c r="A250" s="106"/>
      <c r="B250" s="107">
        <v>3</v>
      </c>
      <c r="C250" s="104" t="s">
        <v>1496</v>
      </c>
      <c r="D250" s="104" t="s">
        <v>316</v>
      </c>
      <c r="E250" s="104" t="s">
        <v>9</v>
      </c>
      <c r="F250" s="104">
        <v>507198</v>
      </c>
      <c r="G250" s="104">
        <v>505213</v>
      </c>
      <c r="H250" s="104">
        <v>483045</v>
      </c>
      <c r="I250" s="104">
        <f t="shared" si="382"/>
        <v>22168</v>
      </c>
      <c r="J250" s="104">
        <v>1</v>
      </c>
      <c r="K250" s="104"/>
      <c r="L250" s="104"/>
      <c r="M250" s="104">
        <v>250000</v>
      </c>
      <c r="N250" s="104">
        <f t="shared" ref="N250:N265" si="391">AC250+AI250</f>
        <v>233045</v>
      </c>
      <c r="O250" s="104">
        <v>204170</v>
      </c>
      <c r="P250" s="104">
        <v>1</v>
      </c>
      <c r="Q250" s="26">
        <v>204170</v>
      </c>
      <c r="R250" s="104">
        <v>1</v>
      </c>
      <c r="S250" s="104">
        <f t="shared" si="338"/>
        <v>17734</v>
      </c>
      <c r="T250" s="104"/>
      <c r="U250" s="26">
        <f t="shared" si="377"/>
        <v>186436</v>
      </c>
      <c r="V250" s="113">
        <f t="shared" si="377"/>
        <v>1</v>
      </c>
      <c r="W250" s="113">
        <v>186436</v>
      </c>
      <c r="X250" s="113">
        <f t="shared" si="383"/>
        <v>1</v>
      </c>
      <c r="Y250" s="113"/>
      <c r="Z250" s="113">
        <f t="shared" si="378"/>
        <v>0</v>
      </c>
      <c r="AA250" s="118">
        <v>0</v>
      </c>
      <c r="AB250" s="122"/>
      <c r="AC250" s="26">
        <f t="shared" si="346"/>
        <v>186436</v>
      </c>
      <c r="AD250" s="104">
        <f t="shared" si="346"/>
        <v>1</v>
      </c>
      <c r="AE250" s="104">
        <v>186436</v>
      </c>
      <c r="AF250" s="104">
        <f t="shared" si="384"/>
        <v>1</v>
      </c>
      <c r="AG250" s="104"/>
      <c r="AH250" s="104">
        <f t="shared" si="381"/>
        <v>0</v>
      </c>
      <c r="AI250" s="104">
        <f t="shared" si="385"/>
        <v>46609</v>
      </c>
      <c r="AJ250" s="104">
        <v>1</v>
      </c>
      <c r="AK250" s="104"/>
      <c r="AL250" s="104">
        <v>0</v>
      </c>
      <c r="AM250" s="104">
        <v>0</v>
      </c>
      <c r="AN250" s="104">
        <f t="shared" si="342"/>
        <v>0</v>
      </c>
      <c r="AO250" s="104"/>
      <c r="AP250" s="113">
        <f t="shared" si="386"/>
        <v>0</v>
      </c>
      <c r="AQ250" s="113"/>
      <c r="AR250" s="34">
        <f t="shared" si="345"/>
        <v>0</v>
      </c>
      <c r="AS250" s="10">
        <f t="shared" si="345"/>
        <v>0</v>
      </c>
      <c r="AT250" s="10"/>
      <c r="AU250" s="10">
        <f t="shared" ref="AU250:AU317" si="392">IF(AT250,1,0)</f>
        <v>0</v>
      </c>
      <c r="AV250" s="10"/>
      <c r="AW250" s="10">
        <f t="shared" ref="AW250:AW317" si="393">IF(AV250,1,0)</f>
        <v>0</v>
      </c>
      <c r="AX250" s="10">
        <f t="shared" si="387"/>
        <v>0</v>
      </c>
      <c r="AY250" s="10"/>
      <c r="AZ250" s="10"/>
      <c r="BA250" s="10">
        <v>0</v>
      </c>
      <c r="BB250" s="10">
        <v>0</v>
      </c>
      <c r="BC250" s="10">
        <f t="shared" si="343"/>
        <v>0</v>
      </c>
      <c r="BD250" s="10"/>
      <c r="BE250" s="26">
        <f t="shared" si="388"/>
        <v>0</v>
      </c>
      <c r="BF250" s="104">
        <f t="shared" si="388"/>
        <v>0</v>
      </c>
      <c r="BG250" s="104"/>
      <c r="BH250" s="104">
        <f t="shared" si="389"/>
        <v>0</v>
      </c>
      <c r="BI250" s="104"/>
      <c r="BJ250" s="104">
        <f t="shared" si="390"/>
        <v>0</v>
      </c>
      <c r="BK250" s="104"/>
      <c r="BL250" s="104"/>
      <c r="BM250" s="104"/>
      <c r="BN250" s="104" t="s">
        <v>553</v>
      </c>
      <c r="BO250" s="104" t="s">
        <v>1301</v>
      </c>
      <c r="BP250" s="104" t="s">
        <v>556</v>
      </c>
      <c r="BQ250" s="104" t="s">
        <v>555</v>
      </c>
      <c r="BR250" s="104" t="s">
        <v>554</v>
      </c>
      <c r="BS250" s="104" t="s">
        <v>11</v>
      </c>
      <c r="BT250" s="55" t="s">
        <v>1691</v>
      </c>
    </row>
    <row r="251" spans="1:77" ht="62.25" customHeight="1" outlineLevel="1" x14ac:dyDescent="0.25">
      <c r="A251" s="106"/>
      <c r="B251" s="107">
        <v>4</v>
      </c>
      <c r="C251" s="104" t="s">
        <v>1495</v>
      </c>
      <c r="D251" s="104" t="s">
        <v>547</v>
      </c>
      <c r="E251" s="104" t="s">
        <v>10</v>
      </c>
      <c r="F251" s="104">
        <v>317663</v>
      </c>
      <c r="G251" s="104">
        <v>315678</v>
      </c>
      <c r="H251" s="104"/>
      <c r="I251" s="104"/>
      <c r="J251" s="104"/>
      <c r="K251" s="104"/>
      <c r="L251" s="104"/>
      <c r="M251" s="104">
        <v>0</v>
      </c>
      <c r="N251" s="104">
        <f t="shared" si="391"/>
        <v>0</v>
      </c>
      <c r="O251" s="104">
        <v>252542</v>
      </c>
      <c r="P251" s="104">
        <v>1</v>
      </c>
      <c r="Q251" s="26">
        <v>164956</v>
      </c>
      <c r="R251" s="104">
        <v>1</v>
      </c>
      <c r="S251" s="104">
        <f t="shared" si="338"/>
        <v>164956</v>
      </c>
      <c r="T251" s="104"/>
      <c r="U251" s="26">
        <f t="shared" si="377"/>
        <v>164956</v>
      </c>
      <c r="V251" s="113">
        <f t="shared" si="377"/>
        <v>1</v>
      </c>
      <c r="W251" s="113"/>
      <c r="X251" s="113">
        <f t="shared" si="383"/>
        <v>0</v>
      </c>
      <c r="Y251" s="113">
        <v>164956</v>
      </c>
      <c r="Z251" s="113">
        <f t="shared" si="378"/>
        <v>1</v>
      </c>
      <c r="AA251" s="118">
        <v>-164956</v>
      </c>
      <c r="AB251" s="122"/>
      <c r="AC251" s="26">
        <f t="shared" si="346"/>
        <v>0</v>
      </c>
      <c r="AD251" s="104">
        <f t="shared" si="346"/>
        <v>0</v>
      </c>
      <c r="AE251" s="104"/>
      <c r="AF251" s="104">
        <f t="shared" si="384"/>
        <v>0</v>
      </c>
      <c r="AG251" s="104"/>
      <c r="AH251" s="104">
        <f t="shared" si="381"/>
        <v>0</v>
      </c>
      <c r="AI251" s="104">
        <f t="shared" si="385"/>
        <v>0</v>
      </c>
      <c r="AJ251" s="104"/>
      <c r="AK251" s="104">
        <v>1</v>
      </c>
      <c r="AL251" s="104">
        <v>87586</v>
      </c>
      <c r="AM251" s="104">
        <v>1</v>
      </c>
      <c r="AN251" s="104">
        <f t="shared" si="342"/>
        <v>-84496</v>
      </c>
      <c r="AO251" s="104"/>
      <c r="AP251" s="113">
        <f t="shared" si="386"/>
        <v>164956</v>
      </c>
      <c r="AQ251" s="113"/>
      <c r="AR251" s="34">
        <f t="shared" si="345"/>
        <v>172082</v>
      </c>
      <c r="AS251" s="10">
        <f t="shared" si="345"/>
        <v>1</v>
      </c>
      <c r="AT251" s="10">
        <f>252542-60000-460-20000</f>
        <v>172082</v>
      </c>
      <c r="AU251" s="10">
        <f t="shared" si="392"/>
        <v>1</v>
      </c>
      <c r="AV251" s="10"/>
      <c r="AW251" s="10">
        <f t="shared" si="393"/>
        <v>0</v>
      </c>
      <c r="AX251" s="10">
        <f t="shared" si="387"/>
        <v>43020.5</v>
      </c>
      <c r="AY251" s="10">
        <v>1</v>
      </c>
      <c r="AZ251" s="10"/>
      <c r="BA251" s="10">
        <v>0</v>
      </c>
      <c r="BB251" s="10">
        <v>0</v>
      </c>
      <c r="BC251" s="10">
        <f t="shared" si="343"/>
        <v>0</v>
      </c>
      <c r="BD251" s="10"/>
      <c r="BE251" s="26">
        <f t="shared" si="388"/>
        <v>0</v>
      </c>
      <c r="BF251" s="104">
        <f t="shared" si="388"/>
        <v>0</v>
      </c>
      <c r="BG251" s="104"/>
      <c r="BH251" s="104">
        <f t="shared" si="389"/>
        <v>0</v>
      </c>
      <c r="BI251" s="104"/>
      <c r="BJ251" s="104">
        <f t="shared" si="390"/>
        <v>0</v>
      </c>
      <c r="BK251" s="104"/>
      <c r="BL251" s="104"/>
      <c r="BM251" s="104"/>
      <c r="BN251" s="104" t="s">
        <v>548</v>
      </c>
      <c r="BO251" s="104" t="s">
        <v>1692</v>
      </c>
      <c r="BP251" s="104" t="s">
        <v>549</v>
      </c>
      <c r="BQ251" s="104" t="s">
        <v>550</v>
      </c>
      <c r="BR251" s="104" t="s">
        <v>551</v>
      </c>
      <c r="BS251" s="104" t="s">
        <v>11</v>
      </c>
      <c r="BT251" s="55" t="s">
        <v>552</v>
      </c>
    </row>
    <row r="252" spans="1:77" ht="39" customHeight="1" outlineLevel="1" x14ac:dyDescent="0.25">
      <c r="A252" s="106"/>
      <c r="B252" s="107">
        <v>5</v>
      </c>
      <c r="C252" s="67" t="s">
        <v>1258</v>
      </c>
      <c r="D252" s="104" t="s">
        <v>1721</v>
      </c>
      <c r="E252" s="104">
        <v>2015</v>
      </c>
      <c r="F252" s="104">
        <v>596160</v>
      </c>
      <c r="G252" s="104">
        <v>593931</v>
      </c>
      <c r="H252" s="104"/>
      <c r="I252" s="104"/>
      <c r="J252" s="104"/>
      <c r="K252" s="104"/>
      <c r="L252" s="104"/>
      <c r="M252" s="104">
        <v>0</v>
      </c>
      <c r="N252" s="104">
        <f t="shared" si="391"/>
        <v>0</v>
      </c>
      <c r="O252" s="104">
        <v>0</v>
      </c>
      <c r="P252" s="104">
        <v>0</v>
      </c>
      <c r="Q252" s="26">
        <v>200000</v>
      </c>
      <c r="R252" s="104">
        <v>1</v>
      </c>
      <c r="S252" s="104">
        <f t="shared" si="338"/>
        <v>200000</v>
      </c>
      <c r="T252" s="104"/>
      <c r="U252" s="26">
        <f t="shared" si="377"/>
        <v>295145</v>
      </c>
      <c r="V252" s="113">
        <f t="shared" si="377"/>
        <v>1</v>
      </c>
      <c r="W252" s="113"/>
      <c r="X252" s="113">
        <f t="shared" si="383"/>
        <v>0</v>
      </c>
      <c r="Y252" s="113">
        <f>475145-180000</f>
        <v>295145</v>
      </c>
      <c r="Z252" s="113">
        <f t="shared" si="378"/>
        <v>1</v>
      </c>
      <c r="AA252" s="118">
        <v>-295145</v>
      </c>
      <c r="AB252" s="122"/>
      <c r="AC252" s="26">
        <f t="shared" si="346"/>
        <v>0</v>
      </c>
      <c r="AD252" s="104">
        <f t="shared" si="346"/>
        <v>0</v>
      </c>
      <c r="AE252" s="104"/>
      <c r="AF252" s="104">
        <f t="shared" si="384"/>
        <v>0</v>
      </c>
      <c r="AG252" s="104"/>
      <c r="AH252" s="104">
        <f t="shared" si="381"/>
        <v>0</v>
      </c>
      <c r="AI252" s="104">
        <f t="shared" si="385"/>
        <v>0</v>
      </c>
      <c r="AJ252" s="104"/>
      <c r="AK252" s="104">
        <v>1</v>
      </c>
      <c r="AL252" s="104">
        <v>275145</v>
      </c>
      <c r="AM252" s="104">
        <v>1</v>
      </c>
      <c r="AN252" s="104">
        <f t="shared" si="342"/>
        <v>-200000</v>
      </c>
      <c r="AO252" s="104"/>
      <c r="AP252" s="113">
        <f t="shared" si="386"/>
        <v>295145</v>
      </c>
      <c r="AQ252" s="113"/>
      <c r="AR252" s="34">
        <f t="shared" si="345"/>
        <v>475145</v>
      </c>
      <c r="AS252" s="10">
        <f t="shared" si="345"/>
        <v>1</v>
      </c>
      <c r="AT252" s="10"/>
      <c r="AU252" s="10">
        <f t="shared" si="392"/>
        <v>0</v>
      </c>
      <c r="AV252" s="10">
        <f>385145+90000</f>
        <v>475145</v>
      </c>
      <c r="AW252" s="10">
        <f t="shared" si="393"/>
        <v>1</v>
      </c>
      <c r="AX252" s="10">
        <f t="shared" si="387"/>
        <v>118786.25</v>
      </c>
      <c r="AY252" s="10">
        <v>1</v>
      </c>
      <c r="AZ252" s="10"/>
      <c r="BA252" s="10">
        <v>0</v>
      </c>
      <c r="BB252" s="10">
        <v>0</v>
      </c>
      <c r="BC252" s="10">
        <f t="shared" si="343"/>
        <v>0</v>
      </c>
      <c r="BD252" s="10"/>
      <c r="BE252" s="26">
        <f t="shared" si="388"/>
        <v>0</v>
      </c>
      <c r="BF252" s="104">
        <f t="shared" si="388"/>
        <v>0</v>
      </c>
      <c r="BG252" s="104"/>
      <c r="BH252" s="104">
        <f t="shared" si="389"/>
        <v>0</v>
      </c>
      <c r="BI252" s="104"/>
      <c r="BJ252" s="104">
        <f t="shared" si="390"/>
        <v>0</v>
      </c>
      <c r="BK252" s="104"/>
      <c r="BL252" s="104"/>
      <c r="BM252" s="104"/>
      <c r="BN252" s="104" t="s">
        <v>1742</v>
      </c>
      <c r="BO252" s="104" t="s">
        <v>1743</v>
      </c>
      <c r="BP252" s="104" t="s">
        <v>1744</v>
      </c>
      <c r="BQ252" s="104" t="s">
        <v>1745</v>
      </c>
      <c r="BR252" s="104" t="s">
        <v>1746</v>
      </c>
      <c r="BS252" s="104" t="s">
        <v>1747</v>
      </c>
      <c r="BT252" s="55" t="s">
        <v>1748</v>
      </c>
    </row>
    <row r="253" spans="1:77" ht="57" customHeight="1" outlineLevel="1" x14ac:dyDescent="0.25">
      <c r="A253" s="106"/>
      <c r="B253" s="107">
        <v>6</v>
      </c>
      <c r="C253" s="104" t="s">
        <v>1259</v>
      </c>
      <c r="D253" s="104" t="s">
        <v>1722</v>
      </c>
      <c r="E253" s="104" t="s">
        <v>1118</v>
      </c>
      <c r="F253" s="104">
        <v>5741698</v>
      </c>
      <c r="G253" s="104">
        <v>5720560</v>
      </c>
      <c r="H253" s="104"/>
      <c r="I253" s="104"/>
      <c r="J253" s="104"/>
      <c r="K253" s="104"/>
      <c r="L253" s="104"/>
      <c r="M253" s="104">
        <v>0</v>
      </c>
      <c r="N253" s="104">
        <f t="shared" si="391"/>
        <v>0</v>
      </c>
      <c r="O253" s="104">
        <v>0</v>
      </c>
      <c r="P253" s="104">
        <v>0</v>
      </c>
      <c r="Q253" s="26">
        <v>0</v>
      </c>
      <c r="R253" s="104">
        <v>0</v>
      </c>
      <c r="S253" s="104">
        <f t="shared" si="338"/>
        <v>0</v>
      </c>
      <c r="T253" s="104"/>
      <c r="U253" s="26">
        <f t="shared" si="377"/>
        <v>0</v>
      </c>
      <c r="V253" s="113">
        <f t="shared" si="377"/>
        <v>0</v>
      </c>
      <c r="W253" s="113"/>
      <c r="X253" s="113">
        <f t="shared" si="383"/>
        <v>0</v>
      </c>
      <c r="Y253" s="113"/>
      <c r="Z253" s="113">
        <f t="shared" si="378"/>
        <v>0</v>
      </c>
      <c r="AA253" s="118">
        <v>0</v>
      </c>
      <c r="AB253" s="122"/>
      <c r="AC253" s="26">
        <f t="shared" si="346"/>
        <v>0</v>
      </c>
      <c r="AD253" s="104">
        <f t="shared" si="346"/>
        <v>0</v>
      </c>
      <c r="AE253" s="104"/>
      <c r="AF253" s="104">
        <f t="shared" si="384"/>
        <v>0</v>
      </c>
      <c r="AG253" s="104"/>
      <c r="AH253" s="104">
        <f t="shared" si="381"/>
        <v>0</v>
      </c>
      <c r="AI253" s="104">
        <f t="shared" si="385"/>
        <v>0</v>
      </c>
      <c r="AJ253" s="104"/>
      <c r="AK253" s="104"/>
      <c r="AL253" s="104">
        <v>1811989</v>
      </c>
      <c r="AM253" s="104">
        <v>1</v>
      </c>
      <c r="AN253" s="104">
        <f t="shared" si="342"/>
        <v>0</v>
      </c>
      <c r="AO253" s="104"/>
      <c r="AP253" s="113">
        <f t="shared" si="386"/>
        <v>0</v>
      </c>
      <c r="AQ253" s="113"/>
      <c r="AR253" s="34">
        <f t="shared" si="345"/>
        <v>1811989</v>
      </c>
      <c r="AS253" s="10">
        <f t="shared" si="345"/>
        <v>1</v>
      </c>
      <c r="AT253" s="10"/>
      <c r="AU253" s="10">
        <f t="shared" si="392"/>
        <v>0</v>
      </c>
      <c r="AV253" s="10">
        <f>1811989</f>
        <v>1811989</v>
      </c>
      <c r="AW253" s="10">
        <f t="shared" si="393"/>
        <v>1</v>
      </c>
      <c r="AX253" s="10">
        <f t="shared" si="387"/>
        <v>452997.25</v>
      </c>
      <c r="AY253" s="10"/>
      <c r="AZ253" s="10">
        <v>1</v>
      </c>
      <c r="BA253" s="10">
        <v>2564459</v>
      </c>
      <c r="BB253" s="10">
        <v>1</v>
      </c>
      <c r="BC253" s="10">
        <f t="shared" si="343"/>
        <v>0</v>
      </c>
      <c r="BD253" s="10"/>
      <c r="BE253" s="26">
        <f t="shared" si="388"/>
        <v>2564459</v>
      </c>
      <c r="BF253" s="104">
        <f t="shared" si="388"/>
        <v>1</v>
      </c>
      <c r="BG253" s="104">
        <f>2564459</f>
        <v>2564459</v>
      </c>
      <c r="BH253" s="104">
        <f t="shared" si="389"/>
        <v>1</v>
      </c>
      <c r="BI253" s="104"/>
      <c r="BJ253" s="104">
        <f t="shared" si="390"/>
        <v>0</v>
      </c>
      <c r="BK253" s="104">
        <f>BE253/0.8*0.2</f>
        <v>641114.75</v>
      </c>
      <c r="BL253" s="104">
        <v>1</v>
      </c>
      <c r="BM253" s="104"/>
      <c r="BN253" s="104" t="s">
        <v>1725</v>
      </c>
      <c r="BO253" s="104" t="s">
        <v>1692</v>
      </c>
      <c r="BP253" s="104" t="s">
        <v>1726</v>
      </c>
      <c r="BQ253" s="104" t="s">
        <v>1727</v>
      </c>
      <c r="BR253" s="104" t="s">
        <v>1728</v>
      </c>
      <c r="BS253" s="104" t="s">
        <v>1729</v>
      </c>
      <c r="BT253" s="55" t="s">
        <v>1730</v>
      </c>
      <c r="BU253" s="3" t="s">
        <v>1724</v>
      </c>
    </row>
    <row r="254" spans="1:77" ht="57" customHeight="1" outlineLevel="1" x14ac:dyDescent="0.25">
      <c r="A254" s="106"/>
      <c r="B254" s="107"/>
      <c r="C254" s="104" t="s">
        <v>1831</v>
      </c>
      <c r="D254" s="104" t="s">
        <v>1832</v>
      </c>
      <c r="E254" s="104" t="s">
        <v>10</v>
      </c>
      <c r="F254" s="104">
        <v>318716</v>
      </c>
      <c r="G254" s="104">
        <v>311485</v>
      </c>
      <c r="H254" s="104"/>
      <c r="I254" s="104"/>
      <c r="J254" s="104"/>
      <c r="K254" s="104"/>
      <c r="L254" s="104"/>
      <c r="M254" s="104"/>
      <c r="N254" s="104">
        <f t="shared" si="391"/>
        <v>0</v>
      </c>
      <c r="O254" s="104"/>
      <c r="P254" s="104"/>
      <c r="Q254" s="26"/>
      <c r="R254" s="104"/>
      <c r="S254" s="104"/>
      <c r="T254" s="104"/>
      <c r="U254" s="26">
        <f t="shared" si="377"/>
        <v>70000</v>
      </c>
      <c r="V254" s="113">
        <f t="shared" si="377"/>
        <v>1</v>
      </c>
      <c r="W254" s="113"/>
      <c r="X254" s="113">
        <f t="shared" si="383"/>
        <v>0</v>
      </c>
      <c r="Y254" s="113">
        <v>70000</v>
      </c>
      <c r="Z254" s="113">
        <f t="shared" si="378"/>
        <v>1</v>
      </c>
      <c r="AA254" s="118">
        <v>-70000</v>
      </c>
      <c r="AB254" s="122"/>
      <c r="AC254" s="26">
        <f t="shared" si="346"/>
        <v>0</v>
      </c>
      <c r="AD254" s="104">
        <f t="shared" si="346"/>
        <v>0</v>
      </c>
      <c r="AE254" s="104"/>
      <c r="AF254" s="104">
        <f t="shared" si="384"/>
        <v>0</v>
      </c>
      <c r="AG254" s="104"/>
      <c r="AH254" s="104">
        <f t="shared" si="381"/>
        <v>0</v>
      </c>
      <c r="AI254" s="104">
        <f t="shared" si="385"/>
        <v>0</v>
      </c>
      <c r="AJ254" s="104"/>
      <c r="AK254" s="104">
        <v>1</v>
      </c>
      <c r="AL254" s="104"/>
      <c r="AM254" s="104"/>
      <c r="AN254" s="104">
        <f t="shared" si="342"/>
        <v>-249188</v>
      </c>
      <c r="AO254" s="104"/>
      <c r="AP254" s="113">
        <f t="shared" si="386"/>
        <v>70000</v>
      </c>
      <c r="AQ254" s="113"/>
      <c r="AR254" s="34">
        <f t="shared" si="345"/>
        <v>249188</v>
      </c>
      <c r="AS254" s="10">
        <f t="shared" si="345"/>
        <v>1</v>
      </c>
      <c r="AT254" s="10"/>
      <c r="AU254" s="10">
        <f t="shared" si="392"/>
        <v>0</v>
      </c>
      <c r="AV254" s="10">
        <f>189188+60000</f>
        <v>249188</v>
      </c>
      <c r="AW254" s="10">
        <f t="shared" si="393"/>
        <v>1</v>
      </c>
      <c r="AX254" s="10">
        <f t="shared" si="387"/>
        <v>62297</v>
      </c>
      <c r="AY254" s="10">
        <v>1</v>
      </c>
      <c r="AZ254" s="10"/>
      <c r="BA254" s="10"/>
      <c r="BB254" s="10"/>
      <c r="BC254" s="10"/>
      <c r="BD254" s="10"/>
      <c r="BE254" s="26"/>
      <c r="BF254" s="104"/>
      <c r="BG254" s="104"/>
      <c r="BH254" s="104"/>
      <c r="BI254" s="104"/>
      <c r="BJ254" s="104"/>
      <c r="BK254" s="104"/>
      <c r="BL254" s="104"/>
      <c r="BM254" s="104"/>
      <c r="BN254" s="104" t="s">
        <v>1855</v>
      </c>
      <c r="BO254" s="104" t="s">
        <v>1867</v>
      </c>
      <c r="BP254" s="104" t="s">
        <v>1868</v>
      </c>
      <c r="BQ254" s="104" t="s">
        <v>1869</v>
      </c>
      <c r="BR254" s="104" t="s">
        <v>1870</v>
      </c>
      <c r="BS254" s="104" t="s">
        <v>1871</v>
      </c>
      <c r="BT254" s="55" t="s">
        <v>1872</v>
      </c>
    </row>
    <row r="255" spans="1:77" ht="57" customHeight="1" outlineLevel="1" x14ac:dyDescent="0.25">
      <c r="A255" s="106"/>
      <c r="B255" s="107"/>
      <c r="C255" s="104" t="s">
        <v>1833</v>
      </c>
      <c r="D255" s="104" t="s">
        <v>1834</v>
      </c>
      <c r="E255" s="104" t="s">
        <v>10</v>
      </c>
      <c r="F255" s="104">
        <v>323606</v>
      </c>
      <c r="G255" s="104">
        <v>316301</v>
      </c>
      <c r="H255" s="104"/>
      <c r="I255" s="104"/>
      <c r="J255" s="104"/>
      <c r="K255" s="104"/>
      <c r="L255" s="104"/>
      <c r="M255" s="104"/>
      <c r="N255" s="104">
        <f t="shared" si="391"/>
        <v>0</v>
      </c>
      <c r="O255" s="104"/>
      <c r="P255" s="104"/>
      <c r="Q255" s="26"/>
      <c r="R255" s="104"/>
      <c r="S255" s="104"/>
      <c r="T255" s="104"/>
      <c r="U255" s="26">
        <f t="shared" si="377"/>
        <v>70000</v>
      </c>
      <c r="V255" s="113">
        <f t="shared" si="377"/>
        <v>1</v>
      </c>
      <c r="W255" s="113"/>
      <c r="X255" s="113">
        <f t="shared" si="383"/>
        <v>0</v>
      </c>
      <c r="Y255" s="113">
        <v>70000</v>
      </c>
      <c r="Z255" s="113">
        <f t="shared" si="378"/>
        <v>1</v>
      </c>
      <c r="AA255" s="118">
        <v>-70000</v>
      </c>
      <c r="AB255" s="122"/>
      <c r="AC255" s="26">
        <f t="shared" si="346"/>
        <v>0</v>
      </c>
      <c r="AD255" s="104">
        <f t="shared" si="346"/>
        <v>0</v>
      </c>
      <c r="AE255" s="104"/>
      <c r="AF255" s="104">
        <f t="shared" si="384"/>
        <v>0</v>
      </c>
      <c r="AG255" s="104"/>
      <c r="AH255" s="104">
        <f t="shared" si="381"/>
        <v>0</v>
      </c>
      <c r="AI255" s="104">
        <f t="shared" si="385"/>
        <v>0</v>
      </c>
      <c r="AJ255" s="104"/>
      <c r="AK255" s="104">
        <v>1</v>
      </c>
      <c r="AL255" s="104"/>
      <c r="AM255" s="104"/>
      <c r="AN255" s="104">
        <f t="shared" si="342"/>
        <v>0</v>
      </c>
      <c r="AO255" s="104"/>
      <c r="AP255" s="113">
        <f t="shared" si="386"/>
        <v>70000</v>
      </c>
      <c r="AQ255" s="113"/>
      <c r="AR255" s="34">
        <f t="shared" si="345"/>
        <v>0</v>
      </c>
      <c r="AS255" s="10">
        <f t="shared" si="345"/>
        <v>0</v>
      </c>
      <c r="AT255" s="10"/>
      <c r="AU255" s="10">
        <f t="shared" si="392"/>
        <v>0</v>
      </c>
      <c r="AV255" s="10"/>
      <c r="AW255" s="10">
        <f t="shared" si="393"/>
        <v>0</v>
      </c>
      <c r="AX255" s="10">
        <f t="shared" si="387"/>
        <v>0</v>
      </c>
      <c r="AY255" s="10">
        <v>1</v>
      </c>
      <c r="AZ255" s="10"/>
      <c r="BA255" s="10"/>
      <c r="BB255" s="10"/>
      <c r="BC255" s="10"/>
      <c r="BD255" s="10"/>
      <c r="BE255" s="26"/>
      <c r="BF255" s="104"/>
      <c r="BG255" s="104"/>
      <c r="BH255" s="104"/>
      <c r="BI255" s="104"/>
      <c r="BJ255" s="104"/>
      <c r="BK255" s="104"/>
      <c r="BL255" s="104"/>
      <c r="BM255" s="104"/>
      <c r="BN255" s="104" t="s">
        <v>1856</v>
      </c>
      <c r="BO255" s="104" t="s">
        <v>1867</v>
      </c>
      <c r="BP255" s="104" t="s">
        <v>1873</v>
      </c>
      <c r="BQ255" s="104" t="s">
        <v>1874</v>
      </c>
      <c r="BR255" s="104" t="s">
        <v>1875</v>
      </c>
      <c r="BS255" s="104" t="s">
        <v>1876</v>
      </c>
      <c r="BT255" s="55" t="s">
        <v>1877</v>
      </c>
    </row>
    <row r="256" spans="1:77" ht="57" customHeight="1" outlineLevel="1" x14ac:dyDescent="0.25">
      <c r="A256" s="106"/>
      <c r="B256" s="107"/>
      <c r="C256" s="104" t="s">
        <v>1835</v>
      </c>
      <c r="D256" s="104" t="s">
        <v>1836</v>
      </c>
      <c r="E256" s="104" t="s">
        <v>10</v>
      </c>
      <c r="F256" s="104">
        <v>350991</v>
      </c>
      <c r="G256" s="104">
        <v>343672</v>
      </c>
      <c r="H256" s="104"/>
      <c r="I256" s="104"/>
      <c r="J256" s="104"/>
      <c r="K256" s="104"/>
      <c r="L256" s="104"/>
      <c r="M256" s="104"/>
      <c r="N256" s="104">
        <f t="shared" si="391"/>
        <v>0</v>
      </c>
      <c r="O256" s="104"/>
      <c r="P256" s="104"/>
      <c r="Q256" s="26"/>
      <c r="R256" s="104"/>
      <c r="S256" s="104"/>
      <c r="T256" s="104"/>
      <c r="U256" s="26">
        <f t="shared" si="377"/>
        <v>80000</v>
      </c>
      <c r="V256" s="113">
        <f t="shared" si="377"/>
        <v>1</v>
      </c>
      <c r="W256" s="113"/>
      <c r="X256" s="113">
        <f t="shared" si="383"/>
        <v>0</v>
      </c>
      <c r="Y256" s="113">
        <v>80000</v>
      </c>
      <c r="Z256" s="113">
        <f t="shared" si="378"/>
        <v>1</v>
      </c>
      <c r="AA256" s="118">
        <v>-80000</v>
      </c>
      <c r="AB256" s="122"/>
      <c r="AC256" s="26">
        <f t="shared" si="346"/>
        <v>0</v>
      </c>
      <c r="AD256" s="104">
        <f t="shared" si="346"/>
        <v>0</v>
      </c>
      <c r="AE256" s="104"/>
      <c r="AF256" s="104">
        <f t="shared" si="384"/>
        <v>0</v>
      </c>
      <c r="AG256" s="104"/>
      <c r="AH256" s="104">
        <f t="shared" si="381"/>
        <v>0</v>
      </c>
      <c r="AI256" s="104">
        <f t="shared" si="385"/>
        <v>0</v>
      </c>
      <c r="AJ256" s="104"/>
      <c r="AK256" s="104">
        <v>1</v>
      </c>
      <c r="AL256" s="104"/>
      <c r="AM256" s="104"/>
      <c r="AN256" s="104">
        <f t="shared" si="342"/>
        <v>-274938</v>
      </c>
      <c r="AO256" s="104"/>
      <c r="AP256" s="113">
        <f t="shared" si="386"/>
        <v>80000</v>
      </c>
      <c r="AQ256" s="113"/>
      <c r="AR256" s="34">
        <f t="shared" si="345"/>
        <v>274938</v>
      </c>
      <c r="AS256" s="10">
        <f t="shared" si="345"/>
        <v>1</v>
      </c>
      <c r="AT256" s="10"/>
      <c r="AU256" s="10">
        <f t="shared" si="392"/>
        <v>0</v>
      </c>
      <c r="AV256" s="10">
        <f>224938+50000</f>
        <v>274938</v>
      </c>
      <c r="AW256" s="10">
        <f t="shared" si="393"/>
        <v>1</v>
      </c>
      <c r="AX256" s="10">
        <f t="shared" si="387"/>
        <v>68734.5</v>
      </c>
      <c r="AY256" s="10">
        <v>1</v>
      </c>
      <c r="AZ256" s="10"/>
      <c r="BA256" s="10"/>
      <c r="BB256" s="10"/>
      <c r="BC256" s="10"/>
      <c r="BD256" s="10"/>
      <c r="BE256" s="26"/>
      <c r="BF256" s="104"/>
      <c r="BG256" s="104"/>
      <c r="BH256" s="104"/>
      <c r="BI256" s="104"/>
      <c r="BJ256" s="104"/>
      <c r="BK256" s="104"/>
      <c r="BL256" s="104"/>
      <c r="BM256" s="104"/>
      <c r="BN256" s="104" t="s">
        <v>1857</v>
      </c>
      <c r="BO256" s="104" t="s">
        <v>1867</v>
      </c>
      <c r="BP256" s="104" t="s">
        <v>1878</v>
      </c>
      <c r="BQ256" s="104" t="s">
        <v>1879</v>
      </c>
      <c r="BR256" s="104" t="s">
        <v>1880</v>
      </c>
      <c r="BS256" s="104" t="s">
        <v>1881</v>
      </c>
      <c r="BT256" s="55" t="s">
        <v>1882</v>
      </c>
    </row>
    <row r="257" spans="1:77" ht="57" customHeight="1" outlineLevel="1" x14ac:dyDescent="0.25">
      <c r="A257" s="106"/>
      <c r="B257" s="107"/>
      <c r="C257" s="104" t="s">
        <v>1837</v>
      </c>
      <c r="D257" s="104" t="s">
        <v>1838</v>
      </c>
      <c r="E257" s="104" t="s">
        <v>10</v>
      </c>
      <c r="F257" s="104">
        <v>387378</v>
      </c>
      <c r="G257" s="104">
        <v>384058</v>
      </c>
      <c r="H257" s="104"/>
      <c r="I257" s="104"/>
      <c r="J257" s="104"/>
      <c r="K257" s="104"/>
      <c r="L257" s="104"/>
      <c r="M257" s="104"/>
      <c r="N257" s="104">
        <f t="shared" si="391"/>
        <v>0</v>
      </c>
      <c r="O257" s="104"/>
      <c r="P257" s="104"/>
      <c r="Q257" s="26"/>
      <c r="R257" s="104"/>
      <c r="S257" s="104"/>
      <c r="T257" s="104"/>
      <c r="U257" s="26">
        <f t="shared" si="377"/>
        <v>80000</v>
      </c>
      <c r="V257" s="113">
        <f t="shared" si="377"/>
        <v>1</v>
      </c>
      <c r="W257" s="113"/>
      <c r="X257" s="113">
        <f t="shared" si="383"/>
        <v>0</v>
      </c>
      <c r="Y257" s="113">
        <v>80000</v>
      </c>
      <c r="Z257" s="113">
        <f t="shared" si="378"/>
        <v>1</v>
      </c>
      <c r="AA257" s="118">
        <v>-80000</v>
      </c>
      <c r="AB257" s="122"/>
      <c r="AC257" s="26">
        <f t="shared" si="346"/>
        <v>0</v>
      </c>
      <c r="AD257" s="104">
        <f t="shared" si="346"/>
        <v>0</v>
      </c>
      <c r="AE257" s="104"/>
      <c r="AF257" s="104">
        <f t="shared" si="384"/>
        <v>0</v>
      </c>
      <c r="AG257" s="104"/>
      <c r="AH257" s="104">
        <f t="shared" si="381"/>
        <v>0</v>
      </c>
      <c r="AI257" s="104">
        <f t="shared" si="385"/>
        <v>0</v>
      </c>
      <c r="AJ257" s="104"/>
      <c r="AK257" s="104">
        <v>1</v>
      </c>
      <c r="AL257" s="104"/>
      <c r="AM257" s="104"/>
      <c r="AN257" s="104">
        <f t="shared" si="342"/>
        <v>-307246</v>
      </c>
      <c r="AO257" s="104"/>
      <c r="AP257" s="113">
        <f t="shared" si="386"/>
        <v>80000</v>
      </c>
      <c r="AQ257" s="113"/>
      <c r="AR257" s="34">
        <f t="shared" si="345"/>
        <v>307246</v>
      </c>
      <c r="AS257" s="10">
        <f t="shared" si="345"/>
        <v>1</v>
      </c>
      <c r="AT257" s="10"/>
      <c r="AU257" s="10">
        <f t="shared" si="392"/>
        <v>0</v>
      </c>
      <c r="AV257" s="10">
        <f>247246+60000</f>
        <v>307246</v>
      </c>
      <c r="AW257" s="10">
        <f t="shared" si="393"/>
        <v>1</v>
      </c>
      <c r="AX257" s="10">
        <f t="shared" si="387"/>
        <v>76811.5</v>
      </c>
      <c r="AY257" s="10">
        <v>1</v>
      </c>
      <c r="AZ257" s="10"/>
      <c r="BA257" s="10"/>
      <c r="BB257" s="10"/>
      <c r="BC257" s="10"/>
      <c r="BD257" s="10"/>
      <c r="BE257" s="26"/>
      <c r="BF257" s="104"/>
      <c r="BG257" s="104"/>
      <c r="BH257" s="104"/>
      <c r="BI257" s="104"/>
      <c r="BJ257" s="104"/>
      <c r="BK257" s="104"/>
      <c r="BL257" s="104"/>
      <c r="BM257" s="104"/>
      <c r="BN257" s="104" t="s">
        <v>1858</v>
      </c>
      <c r="BO257" s="104" t="s">
        <v>1883</v>
      </c>
      <c r="BP257" s="104" t="s">
        <v>1884</v>
      </c>
      <c r="BQ257" s="104" t="s">
        <v>1885</v>
      </c>
      <c r="BR257" s="104" t="s">
        <v>1886</v>
      </c>
      <c r="BS257" s="104" t="s">
        <v>1887</v>
      </c>
      <c r="BT257" s="55" t="s">
        <v>1888</v>
      </c>
    </row>
    <row r="258" spans="1:77" ht="57" customHeight="1" outlineLevel="1" x14ac:dyDescent="0.25">
      <c r="A258" s="106"/>
      <c r="B258" s="107"/>
      <c r="C258" s="104" t="s">
        <v>1839</v>
      </c>
      <c r="D258" s="104" t="s">
        <v>1840</v>
      </c>
      <c r="E258" s="104" t="s">
        <v>10</v>
      </c>
      <c r="F258" s="104">
        <v>399274</v>
      </c>
      <c r="G258" s="104">
        <v>396514</v>
      </c>
      <c r="H258" s="104"/>
      <c r="I258" s="104"/>
      <c r="J258" s="104"/>
      <c r="K258" s="104"/>
      <c r="L258" s="104"/>
      <c r="M258" s="104"/>
      <c r="N258" s="104">
        <f t="shared" si="391"/>
        <v>0</v>
      </c>
      <c r="O258" s="104"/>
      <c r="P258" s="104"/>
      <c r="Q258" s="26"/>
      <c r="R258" s="104"/>
      <c r="S258" s="104"/>
      <c r="T258" s="104"/>
      <c r="U258" s="26">
        <f t="shared" si="377"/>
        <v>92575</v>
      </c>
      <c r="V258" s="113">
        <f t="shared" si="377"/>
        <v>1</v>
      </c>
      <c r="W258" s="113"/>
      <c r="X258" s="113">
        <f t="shared" si="383"/>
        <v>0</v>
      </c>
      <c r="Y258" s="113">
        <v>92575</v>
      </c>
      <c r="Z258" s="113">
        <f t="shared" si="378"/>
        <v>1</v>
      </c>
      <c r="AA258" s="118">
        <v>-92575</v>
      </c>
      <c r="AB258" s="122"/>
      <c r="AC258" s="26">
        <f t="shared" si="346"/>
        <v>0</v>
      </c>
      <c r="AD258" s="104">
        <f t="shared" si="346"/>
        <v>0</v>
      </c>
      <c r="AE258" s="104"/>
      <c r="AF258" s="104">
        <f t="shared" si="384"/>
        <v>0</v>
      </c>
      <c r="AG258" s="104"/>
      <c r="AH258" s="104">
        <f t="shared" si="381"/>
        <v>0</v>
      </c>
      <c r="AI258" s="104">
        <f t="shared" si="385"/>
        <v>0</v>
      </c>
      <c r="AJ258" s="104"/>
      <c r="AK258" s="104">
        <v>1</v>
      </c>
      <c r="AL258" s="104"/>
      <c r="AM258" s="104"/>
      <c r="AN258" s="104">
        <f t="shared" si="342"/>
        <v>-317211</v>
      </c>
      <c r="AO258" s="104"/>
      <c r="AP258" s="113">
        <f t="shared" si="386"/>
        <v>92575</v>
      </c>
      <c r="AQ258" s="113"/>
      <c r="AR258" s="34">
        <f t="shared" si="345"/>
        <v>317211</v>
      </c>
      <c r="AS258" s="10">
        <f t="shared" si="345"/>
        <v>1</v>
      </c>
      <c r="AT258" s="10"/>
      <c r="AU258" s="10">
        <f t="shared" si="392"/>
        <v>0</v>
      </c>
      <c r="AV258" s="10">
        <f>257211+60000</f>
        <v>317211</v>
      </c>
      <c r="AW258" s="10">
        <f t="shared" si="393"/>
        <v>1</v>
      </c>
      <c r="AX258" s="10">
        <f t="shared" si="387"/>
        <v>79302.75</v>
      </c>
      <c r="AY258" s="10">
        <v>1</v>
      </c>
      <c r="AZ258" s="10"/>
      <c r="BA258" s="10"/>
      <c r="BB258" s="10"/>
      <c r="BC258" s="10"/>
      <c r="BD258" s="10"/>
      <c r="BE258" s="26"/>
      <c r="BF258" s="104"/>
      <c r="BG258" s="104"/>
      <c r="BH258" s="104"/>
      <c r="BI258" s="104"/>
      <c r="BJ258" s="104"/>
      <c r="BK258" s="104"/>
      <c r="BL258" s="104"/>
      <c r="BM258" s="104"/>
      <c r="BN258" s="104" t="s">
        <v>1859</v>
      </c>
      <c r="BO258" s="104" t="s">
        <v>1883</v>
      </c>
      <c r="BP258" s="104" t="s">
        <v>1889</v>
      </c>
      <c r="BQ258" s="104" t="s">
        <v>1890</v>
      </c>
      <c r="BR258" s="104" t="s">
        <v>1891</v>
      </c>
      <c r="BS258" s="104" t="s">
        <v>1892</v>
      </c>
      <c r="BT258" s="55" t="s">
        <v>1893</v>
      </c>
    </row>
    <row r="259" spans="1:77" ht="57" customHeight="1" outlineLevel="1" x14ac:dyDescent="0.25">
      <c r="A259" s="106"/>
      <c r="B259" s="107"/>
      <c r="C259" s="104" t="s">
        <v>1841</v>
      </c>
      <c r="D259" s="104" t="s">
        <v>1842</v>
      </c>
      <c r="E259" s="104" t="s">
        <v>10</v>
      </c>
      <c r="F259" s="104">
        <v>374081</v>
      </c>
      <c r="G259" s="104">
        <v>370929</v>
      </c>
      <c r="H259" s="104"/>
      <c r="I259" s="104"/>
      <c r="J259" s="104"/>
      <c r="K259" s="104"/>
      <c r="L259" s="104"/>
      <c r="M259" s="104"/>
      <c r="N259" s="104">
        <f t="shared" si="391"/>
        <v>0</v>
      </c>
      <c r="O259" s="104"/>
      <c r="P259" s="104"/>
      <c r="Q259" s="26"/>
      <c r="R259" s="104"/>
      <c r="S259" s="104"/>
      <c r="T259" s="104"/>
      <c r="U259" s="26">
        <f t="shared" si="377"/>
        <v>110000</v>
      </c>
      <c r="V259" s="113">
        <f t="shared" si="377"/>
        <v>1</v>
      </c>
      <c r="W259" s="113"/>
      <c r="X259" s="113">
        <f t="shared" si="383"/>
        <v>0</v>
      </c>
      <c r="Y259" s="113">
        <v>110000</v>
      </c>
      <c r="Z259" s="113">
        <f t="shared" si="378"/>
        <v>1</v>
      </c>
      <c r="AA259" s="118">
        <v>-110000</v>
      </c>
      <c r="AB259" s="122"/>
      <c r="AC259" s="26">
        <f t="shared" si="346"/>
        <v>0</v>
      </c>
      <c r="AD259" s="104">
        <f t="shared" si="346"/>
        <v>0</v>
      </c>
      <c r="AE259" s="104"/>
      <c r="AF259" s="104">
        <f t="shared" si="384"/>
        <v>0</v>
      </c>
      <c r="AG259" s="104"/>
      <c r="AH259" s="104">
        <f t="shared" si="381"/>
        <v>0</v>
      </c>
      <c r="AI259" s="104">
        <f t="shared" si="385"/>
        <v>0</v>
      </c>
      <c r="AJ259" s="104"/>
      <c r="AK259" s="104">
        <v>1</v>
      </c>
      <c r="AL259" s="104"/>
      <c r="AM259" s="104"/>
      <c r="AN259" s="104">
        <f t="shared" si="342"/>
        <v>-296743</v>
      </c>
      <c r="AO259" s="104"/>
      <c r="AP259" s="113">
        <f t="shared" si="386"/>
        <v>110000</v>
      </c>
      <c r="AQ259" s="113"/>
      <c r="AR259" s="34">
        <f t="shared" si="345"/>
        <v>296743</v>
      </c>
      <c r="AS259" s="10">
        <f t="shared" si="345"/>
        <v>1</v>
      </c>
      <c r="AT259" s="10"/>
      <c r="AU259" s="10">
        <f t="shared" si="392"/>
        <v>0</v>
      </c>
      <c r="AV259" s="10">
        <f>186743+110000</f>
        <v>296743</v>
      </c>
      <c r="AW259" s="10">
        <f t="shared" si="393"/>
        <v>1</v>
      </c>
      <c r="AX259" s="10">
        <f t="shared" si="387"/>
        <v>74185.75</v>
      </c>
      <c r="AY259" s="10">
        <v>1</v>
      </c>
      <c r="AZ259" s="10"/>
      <c r="BA259" s="10"/>
      <c r="BB259" s="10"/>
      <c r="BC259" s="10"/>
      <c r="BD259" s="10"/>
      <c r="BE259" s="26"/>
      <c r="BF259" s="104"/>
      <c r="BG259" s="104"/>
      <c r="BH259" s="104"/>
      <c r="BI259" s="104"/>
      <c r="BJ259" s="104"/>
      <c r="BK259" s="104"/>
      <c r="BL259" s="104"/>
      <c r="BM259" s="104"/>
      <c r="BN259" s="104" t="s">
        <v>1860</v>
      </c>
      <c r="BO259" s="104" t="s">
        <v>1883</v>
      </c>
      <c r="BP259" s="104" t="s">
        <v>1894</v>
      </c>
      <c r="BQ259" s="104" t="s">
        <v>1895</v>
      </c>
      <c r="BR259" s="104" t="s">
        <v>1896</v>
      </c>
      <c r="BS259" s="104" t="s">
        <v>1897</v>
      </c>
      <c r="BT259" s="55" t="s">
        <v>1898</v>
      </c>
    </row>
    <row r="260" spans="1:77" ht="57" customHeight="1" outlineLevel="1" x14ac:dyDescent="0.25">
      <c r="A260" s="106"/>
      <c r="B260" s="107"/>
      <c r="C260" s="104" t="s">
        <v>1843</v>
      </c>
      <c r="D260" s="104" t="s">
        <v>1844</v>
      </c>
      <c r="E260" s="104" t="s">
        <v>10</v>
      </c>
      <c r="F260" s="104">
        <v>415468</v>
      </c>
      <c r="G260" s="104">
        <v>408124</v>
      </c>
      <c r="H260" s="104"/>
      <c r="I260" s="104"/>
      <c r="J260" s="104"/>
      <c r="K260" s="104"/>
      <c r="L260" s="104"/>
      <c r="M260" s="104"/>
      <c r="N260" s="104">
        <f t="shared" si="391"/>
        <v>0</v>
      </c>
      <c r="O260" s="104"/>
      <c r="P260" s="104"/>
      <c r="Q260" s="26"/>
      <c r="R260" s="104"/>
      <c r="S260" s="104"/>
      <c r="T260" s="104"/>
      <c r="U260" s="26">
        <f t="shared" si="377"/>
        <v>120000</v>
      </c>
      <c r="V260" s="113">
        <f t="shared" si="377"/>
        <v>1</v>
      </c>
      <c r="W260" s="113"/>
      <c r="X260" s="113">
        <f t="shared" si="383"/>
        <v>0</v>
      </c>
      <c r="Y260" s="113">
        <v>120000</v>
      </c>
      <c r="Z260" s="113">
        <f t="shared" si="378"/>
        <v>1</v>
      </c>
      <c r="AA260" s="118">
        <v>-120000</v>
      </c>
      <c r="AB260" s="122"/>
      <c r="AC260" s="26">
        <f t="shared" si="346"/>
        <v>0</v>
      </c>
      <c r="AD260" s="104">
        <f t="shared" si="346"/>
        <v>0</v>
      </c>
      <c r="AE260" s="104"/>
      <c r="AF260" s="104">
        <f t="shared" si="384"/>
        <v>0</v>
      </c>
      <c r="AG260" s="104"/>
      <c r="AH260" s="104">
        <f t="shared" si="381"/>
        <v>0</v>
      </c>
      <c r="AI260" s="104">
        <f t="shared" si="385"/>
        <v>0</v>
      </c>
      <c r="AJ260" s="104"/>
      <c r="AK260" s="104">
        <v>1</v>
      </c>
      <c r="AL260" s="104"/>
      <c r="AM260" s="104"/>
      <c r="AN260" s="104">
        <f t="shared" si="342"/>
        <v>0</v>
      </c>
      <c r="AO260" s="104"/>
      <c r="AP260" s="113">
        <f t="shared" si="386"/>
        <v>120000</v>
      </c>
      <c r="AQ260" s="113"/>
      <c r="AR260" s="34">
        <f t="shared" si="345"/>
        <v>0</v>
      </c>
      <c r="AS260" s="10">
        <f t="shared" si="345"/>
        <v>0</v>
      </c>
      <c r="AT260" s="10"/>
      <c r="AU260" s="10">
        <f t="shared" si="392"/>
        <v>0</v>
      </c>
      <c r="AV260" s="10"/>
      <c r="AW260" s="10">
        <f t="shared" si="393"/>
        <v>0</v>
      </c>
      <c r="AX260" s="10">
        <f t="shared" si="387"/>
        <v>0</v>
      </c>
      <c r="AY260" s="10">
        <v>1</v>
      </c>
      <c r="AZ260" s="10"/>
      <c r="BA260" s="10"/>
      <c r="BB260" s="10"/>
      <c r="BC260" s="10"/>
      <c r="BD260" s="10"/>
      <c r="BE260" s="26"/>
      <c r="BF260" s="104"/>
      <c r="BG260" s="104"/>
      <c r="BH260" s="104"/>
      <c r="BI260" s="104"/>
      <c r="BJ260" s="104"/>
      <c r="BK260" s="104"/>
      <c r="BL260" s="104"/>
      <c r="BM260" s="104"/>
      <c r="BN260" s="104" t="s">
        <v>1861</v>
      </c>
      <c r="BO260" s="104" t="s">
        <v>1899</v>
      </c>
      <c r="BP260" s="104" t="s">
        <v>1900</v>
      </c>
      <c r="BQ260" s="104" t="s">
        <v>1901</v>
      </c>
      <c r="BR260" s="104" t="s">
        <v>1902</v>
      </c>
      <c r="BS260" s="104" t="s">
        <v>1903</v>
      </c>
      <c r="BT260" s="55" t="s">
        <v>1904</v>
      </c>
    </row>
    <row r="261" spans="1:77" ht="57" customHeight="1" outlineLevel="1" x14ac:dyDescent="0.25">
      <c r="A261" s="106"/>
      <c r="B261" s="107"/>
      <c r="C261" s="104" t="s">
        <v>1845</v>
      </c>
      <c r="D261" s="104" t="s">
        <v>1846</v>
      </c>
      <c r="E261" s="104" t="s">
        <v>10</v>
      </c>
      <c r="F261" s="104">
        <v>349986</v>
      </c>
      <c r="G261" s="104">
        <v>343706</v>
      </c>
      <c r="H261" s="104"/>
      <c r="I261" s="104"/>
      <c r="J261" s="104"/>
      <c r="K261" s="104"/>
      <c r="L261" s="104"/>
      <c r="M261" s="104"/>
      <c r="N261" s="104">
        <f t="shared" si="391"/>
        <v>0</v>
      </c>
      <c r="O261" s="104"/>
      <c r="P261" s="104"/>
      <c r="Q261" s="26"/>
      <c r="R261" s="104"/>
      <c r="S261" s="104"/>
      <c r="T261" s="104"/>
      <c r="U261" s="26">
        <f t="shared" si="377"/>
        <v>100000</v>
      </c>
      <c r="V261" s="113">
        <f t="shared" si="377"/>
        <v>1</v>
      </c>
      <c r="W261" s="113"/>
      <c r="X261" s="113">
        <f t="shared" si="383"/>
        <v>0</v>
      </c>
      <c r="Y261" s="113">
        <v>100000</v>
      </c>
      <c r="Z261" s="113">
        <f t="shared" si="378"/>
        <v>1</v>
      </c>
      <c r="AA261" s="118">
        <v>-100000</v>
      </c>
      <c r="AB261" s="122"/>
      <c r="AC261" s="26">
        <f t="shared" si="346"/>
        <v>0</v>
      </c>
      <c r="AD261" s="104">
        <f t="shared" si="346"/>
        <v>0</v>
      </c>
      <c r="AE261" s="104"/>
      <c r="AF261" s="104">
        <f t="shared" si="384"/>
        <v>0</v>
      </c>
      <c r="AG261" s="104"/>
      <c r="AH261" s="104">
        <f t="shared" si="381"/>
        <v>0</v>
      </c>
      <c r="AI261" s="104">
        <f t="shared" si="385"/>
        <v>0</v>
      </c>
      <c r="AJ261" s="104"/>
      <c r="AK261" s="104">
        <v>1</v>
      </c>
      <c r="AL261" s="104"/>
      <c r="AM261" s="104"/>
      <c r="AN261" s="104">
        <f t="shared" si="342"/>
        <v>-274965</v>
      </c>
      <c r="AO261" s="104"/>
      <c r="AP261" s="113">
        <f t="shared" si="386"/>
        <v>100000</v>
      </c>
      <c r="AQ261" s="113"/>
      <c r="AR261" s="34">
        <f t="shared" si="345"/>
        <v>274965</v>
      </c>
      <c r="AS261" s="10">
        <f t="shared" si="345"/>
        <v>1</v>
      </c>
      <c r="AT261" s="10"/>
      <c r="AU261" s="10">
        <f t="shared" si="392"/>
        <v>0</v>
      </c>
      <c r="AV261" s="10">
        <f>174965+100000</f>
        <v>274965</v>
      </c>
      <c r="AW261" s="10">
        <f t="shared" si="393"/>
        <v>1</v>
      </c>
      <c r="AX261" s="10">
        <f t="shared" si="387"/>
        <v>68741.25</v>
      </c>
      <c r="AY261" s="10">
        <v>1</v>
      </c>
      <c r="AZ261" s="10"/>
      <c r="BA261" s="10"/>
      <c r="BB261" s="10"/>
      <c r="BC261" s="10"/>
      <c r="BD261" s="10"/>
      <c r="BE261" s="26"/>
      <c r="BF261" s="104"/>
      <c r="BG261" s="104"/>
      <c r="BH261" s="104"/>
      <c r="BI261" s="104"/>
      <c r="BJ261" s="104"/>
      <c r="BK261" s="104"/>
      <c r="BL261" s="104"/>
      <c r="BM261" s="104"/>
      <c r="BN261" s="104" t="s">
        <v>1862</v>
      </c>
      <c r="BO261" s="104" t="s">
        <v>1905</v>
      </c>
      <c r="BP261" s="104" t="s">
        <v>1906</v>
      </c>
      <c r="BQ261" s="104" t="s">
        <v>1907</v>
      </c>
      <c r="BR261" s="104" t="s">
        <v>1908</v>
      </c>
      <c r="BS261" s="104" t="s">
        <v>1909</v>
      </c>
      <c r="BT261" s="55" t="s">
        <v>1910</v>
      </c>
    </row>
    <row r="262" spans="1:77" ht="57" customHeight="1" outlineLevel="1" x14ac:dyDescent="0.25">
      <c r="A262" s="106"/>
      <c r="B262" s="107"/>
      <c r="C262" s="104" t="s">
        <v>1847</v>
      </c>
      <c r="D262" s="104" t="s">
        <v>1848</v>
      </c>
      <c r="E262" s="104" t="s">
        <v>10</v>
      </c>
      <c r="F262" s="104">
        <v>299575</v>
      </c>
      <c r="G262" s="104">
        <v>293523</v>
      </c>
      <c r="H262" s="104"/>
      <c r="I262" s="104"/>
      <c r="J262" s="104"/>
      <c r="K262" s="104"/>
      <c r="L262" s="104"/>
      <c r="M262" s="104"/>
      <c r="N262" s="104">
        <f t="shared" si="391"/>
        <v>0</v>
      </c>
      <c r="O262" s="104"/>
      <c r="P262" s="104"/>
      <c r="Q262" s="26"/>
      <c r="R262" s="104"/>
      <c r="S262" s="104"/>
      <c r="T262" s="104"/>
      <c r="U262" s="26">
        <f t="shared" si="377"/>
        <v>100000</v>
      </c>
      <c r="V262" s="113">
        <f t="shared" si="377"/>
        <v>1</v>
      </c>
      <c r="W262" s="113"/>
      <c r="X262" s="113">
        <f t="shared" si="383"/>
        <v>0</v>
      </c>
      <c r="Y262" s="113">
        <v>100000</v>
      </c>
      <c r="Z262" s="113">
        <f t="shared" si="378"/>
        <v>1</v>
      </c>
      <c r="AA262" s="118">
        <v>-100000</v>
      </c>
      <c r="AB262" s="122"/>
      <c r="AC262" s="26">
        <f t="shared" si="346"/>
        <v>0</v>
      </c>
      <c r="AD262" s="104">
        <f t="shared" si="346"/>
        <v>0</v>
      </c>
      <c r="AE262" s="104"/>
      <c r="AF262" s="104">
        <f t="shared" si="384"/>
        <v>0</v>
      </c>
      <c r="AG262" s="104"/>
      <c r="AH262" s="104">
        <f t="shared" si="381"/>
        <v>0</v>
      </c>
      <c r="AI262" s="104">
        <f t="shared" si="385"/>
        <v>0</v>
      </c>
      <c r="AJ262" s="104"/>
      <c r="AK262" s="104">
        <v>1</v>
      </c>
      <c r="AL262" s="104"/>
      <c r="AM262" s="104"/>
      <c r="AN262" s="104">
        <f t="shared" si="342"/>
        <v>-234818</v>
      </c>
      <c r="AO262" s="104"/>
      <c r="AP262" s="113">
        <f t="shared" si="386"/>
        <v>100000</v>
      </c>
      <c r="AQ262" s="113"/>
      <c r="AR262" s="34">
        <f t="shared" si="345"/>
        <v>234818</v>
      </c>
      <c r="AS262" s="10">
        <f t="shared" si="345"/>
        <v>1</v>
      </c>
      <c r="AT262" s="10"/>
      <c r="AU262" s="10">
        <f t="shared" si="392"/>
        <v>0</v>
      </c>
      <c r="AV262" s="10">
        <f>184818+50000</f>
        <v>234818</v>
      </c>
      <c r="AW262" s="10">
        <f t="shared" si="393"/>
        <v>1</v>
      </c>
      <c r="AX262" s="10">
        <f t="shared" si="387"/>
        <v>58704.5</v>
      </c>
      <c r="AY262" s="10">
        <v>1</v>
      </c>
      <c r="AZ262" s="10"/>
      <c r="BA262" s="10"/>
      <c r="BB262" s="10"/>
      <c r="BC262" s="10"/>
      <c r="BD262" s="10"/>
      <c r="BE262" s="26"/>
      <c r="BF262" s="104"/>
      <c r="BG262" s="104"/>
      <c r="BH262" s="104"/>
      <c r="BI262" s="104"/>
      <c r="BJ262" s="104"/>
      <c r="BK262" s="104"/>
      <c r="BL262" s="104"/>
      <c r="BM262" s="104"/>
      <c r="BN262" s="104" t="s">
        <v>1863</v>
      </c>
      <c r="BO262" s="104" t="s">
        <v>1905</v>
      </c>
      <c r="BP262" s="104" t="s">
        <v>1894</v>
      </c>
      <c r="BQ262" s="104" t="s">
        <v>1911</v>
      </c>
      <c r="BR262" s="104" t="s">
        <v>1912</v>
      </c>
      <c r="BS262" s="104" t="s">
        <v>1913</v>
      </c>
      <c r="BT262" s="55" t="s">
        <v>1914</v>
      </c>
    </row>
    <row r="263" spans="1:77" ht="57" customHeight="1" outlineLevel="1" x14ac:dyDescent="0.25">
      <c r="A263" s="106"/>
      <c r="B263" s="107"/>
      <c r="C263" s="104" t="s">
        <v>1849</v>
      </c>
      <c r="D263" s="104" t="s">
        <v>1850</v>
      </c>
      <c r="E263" s="104" t="s">
        <v>10</v>
      </c>
      <c r="F263" s="104">
        <v>389720</v>
      </c>
      <c r="G263" s="104">
        <v>382990</v>
      </c>
      <c r="H263" s="104"/>
      <c r="I263" s="104"/>
      <c r="J263" s="104"/>
      <c r="K263" s="104"/>
      <c r="L263" s="104"/>
      <c r="M263" s="104"/>
      <c r="N263" s="104">
        <f t="shared" si="391"/>
        <v>0</v>
      </c>
      <c r="O263" s="104"/>
      <c r="P263" s="104"/>
      <c r="Q263" s="26"/>
      <c r="R263" s="104"/>
      <c r="S263" s="104"/>
      <c r="T263" s="104"/>
      <c r="U263" s="26">
        <f t="shared" si="377"/>
        <v>100000</v>
      </c>
      <c r="V263" s="113">
        <f t="shared" si="377"/>
        <v>1</v>
      </c>
      <c r="W263" s="113"/>
      <c r="X263" s="113">
        <f t="shared" si="383"/>
        <v>0</v>
      </c>
      <c r="Y263" s="113">
        <v>100000</v>
      </c>
      <c r="Z263" s="113">
        <f t="shared" si="378"/>
        <v>1</v>
      </c>
      <c r="AA263" s="118">
        <v>-100000</v>
      </c>
      <c r="AB263" s="122"/>
      <c r="AC263" s="26">
        <f t="shared" si="346"/>
        <v>0</v>
      </c>
      <c r="AD263" s="104">
        <f t="shared" si="346"/>
        <v>0</v>
      </c>
      <c r="AE263" s="104"/>
      <c r="AF263" s="104">
        <f t="shared" si="384"/>
        <v>0</v>
      </c>
      <c r="AG263" s="104"/>
      <c r="AH263" s="104">
        <f t="shared" si="381"/>
        <v>0</v>
      </c>
      <c r="AI263" s="104">
        <f t="shared" si="385"/>
        <v>0</v>
      </c>
      <c r="AJ263" s="104"/>
      <c r="AK263" s="104">
        <v>1</v>
      </c>
      <c r="AL263" s="104"/>
      <c r="AM263" s="104"/>
      <c r="AN263" s="104">
        <f t="shared" si="342"/>
        <v>-306392</v>
      </c>
      <c r="AO263" s="104"/>
      <c r="AP263" s="113">
        <f t="shared" si="386"/>
        <v>100000</v>
      </c>
      <c r="AQ263" s="113"/>
      <c r="AR263" s="34">
        <f t="shared" si="345"/>
        <v>306392</v>
      </c>
      <c r="AS263" s="10">
        <f t="shared" si="345"/>
        <v>1</v>
      </c>
      <c r="AT263" s="10"/>
      <c r="AU263" s="10">
        <f t="shared" si="392"/>
        <v>0</v>
      </c>
      <c r="AV263" s="10">
        <f>246392+60000</f>
        <v>306392</v>
      </c>
      <c r="AW263" s="10">
        <f t="shared" si="393"/>
        <v>1</v>
      </c>
      <c r="AX263" s="10">
        <f t="shared" si="387"/>
        <v>76598</v>
      </c>
      <c r="AY263" s="10">
        <v>1</v>
      </c>
      <c r="AZ263" s="10"/>
      <c r="BA263" s="10"/>
      <c r="BB263" s="10"/>
      <c r="BC263" s="10"/>
      <c r="BD263" s="10"/>
      <c r="BE263" s="26"/>
      <c r="BF263" s="104"/>
      <c r="BG263" s="104"/>
      <c r="BH263" s="104"/>
      <c r="BI263" s="104"/>
      <c r="BJ263" s="104"/>
      <c r="BK263" s="104"/>
      <c r="BL263" s="104"/>
      <c r="BM263" s="104"/>
      <c r="BN263" s="104" t="s">
        <v>1864</v>
      </c>
      <c r="BO263" s="104" t="s">
        <v>1915</v>
      </c>
      <c r="BP263" s="104" t="s">
        <v>1916</v>
      </c>
      <c r="BQ263" s="104" t="s">
        <v>1917</v>
      </c>
      <c r="BR263" s="104" t="s">
        <v>1918</v>
      </c>
      <c r="BS263" s="104" t="s">
        <v>1919</v>
      </c>
      <c r="BT263" s="55" t="s">
        <v>1920</v>
      </c>
    </row>
    <row r="264" spans="1:77" ht="57" customHeight="1" outlineLevel="1" x14ac:dyDescent="0.25">
      <c r="A264" s="106"/>
      <c r="B264" s="107"/>
      <c r="C264" s="104" t="s">
        <v>1851</v>
      </c>
      <c r="D264" s="104" t="s">
        <v>1852</v>
      </c>
      <c r="E264" s="104" t="s">
        <v>10</v>
      </c>
      <c r="F264" s="104">
        <v>492134</v>
      </c>
      <c r="G264" s="104">
        <v>486526</v>
      </c>
      <c r="H264" s="104"/>
      <c r="I264" s="104"/>
      <c r="J264" s="104"/>
      <c r="K264" s="104"/>
      <c r="L264" s="104"/>
      <c r="M264" s="104"/>
      <c r="N264" s="104">
        <f t="shared" si="391"/>
        <v>0</v>
      </c>
      <c r="O264" s="104"/>
      <c r="P264" s="104"/>
      <c r="Q264" s="26"/>
      <c r="R264" s="104"/>
      <c r="S264" s="104"/>
      <c r="T264" s="104"/>
      <c r="U264" s="26">
        <f t="shared" si="377"/>
        <v>150000</v>
      </c>
      <c r="V264" s="113">
        <f t="shared" si="377"/>
        <v>1</v>
      </c>
      <c r="W264" s="113"/>
      <c r="X264" s="113">
        <f t="shared" si="383"/>
        <v>0</v>
      </c>
      <c r="Y264" s="113">
        <v>150000</v>
      </c>
      <c r="Z264" s="113">
        <f t="shared" si="378"/>
        <v>1</v>
      </c>
      <c r="AA264" s="118">
        <v>-150000</v>
      </c>
      <c r="AB264" s="122"/>
      <c r="AC264" s="26">
        <f t="shared" si="346"/>
        <v>0</v>
      </c>
      <c r="AD264" s="104">
        <f t="shared" si="346"/>
        <v>0</v>
      </c>
      <c r="AE264" s="104"/>
      <c r="AF264" s="104">
        <f t="shared" si="384"/>
        <v>0</v>
      </c>
      <c r="AG264" s="104"/>
      <c r="AH264" s="104">
        <f t="shared" si="381"/>
        <v>0</v>
      </c>
      <c r="AI264" s="104">
        <f t="shared" si="385"/>
        <v>0</v>
      </c>
      <c r="AJ264" s="104"/>
      <c r="AK264" s="104">
        <v>1</v>
      </c>
      <c r="AL264" s="104"/>
      <c r="AM264" s="104"/>
      <c r="AN264" s="104">
        <f t="shared" si="342"/>
        <v>-389221</v>
      </c>
      <c r="AO264" s="104"/>
      <c r="AP264" s="113">
        <f t="shared" si="386"/>
        <v>150000</v>
      </c>
      <c r="AQ264" s="113"/>
      <c r="AR264" s="34">
        <f t="shared" si="345"/>
        <v>389221</v>
      </c>
      <c r="AS264" s="10">
        <f t="shared" si="345"/>
        <v>1</v>
      </c>
      <c r="AT264" s="10"/>
      <c r="AU264" s="10">
        <f t="shared" si="392"/>
        <v>0</v>
      </c>
      <c r="AV264" s="10">
        <f>329221+60000</f>
        <v>389221</v>
      </c>
      <c r="AW264" s="10">
        <f t="shared" si="393"/>
        <v>1</v>
      </c>
      <c r="AX264" s="10">
        <f t="shared" si="387"/>
        <v>97305.25</v>
      </c>
      <c r="AY264" s="10">
        <v>1</v>
      </c>
      <c r="AZ264" s="10"/>
      <c r="BA264" s="10"/>
      <c r="BB264" s="10"/>
      <c r="BC264" s="10"/>
      <c r="BD264" s="10"/>
      <c r="BE264" s="26"/>
      <c r="BF264" s="104"/>
      <c r="BG264" s="104"/>
      <c r="BH264" s="104"/>
      <c r="BI264" s="104"/>
      <c r="BJ264" s="104"/>
      <c r="BK264" s="104"/>
      <c r="BL264" s="104"/>
      <c r="BM264" s="104"/>
      <c r="BN264" s="104" t="s">
        <v>1865</v>
      </c>
      <c r="BO264" s="104" t="s">
        <v>1883</v>
      </c>
      <c r="BP264" s="104" t="s">
        <v>1921</v>
      </c>
      <c r="BQ264" s="104" t="s">
        <v>1922</v>
      </c>
      <c r="BR264" s="104" t="s">
        <v>1923</v>
      </c>
      <c r="BS264" s="104" t="s">
        <v>1924</v>
      </c>
      <c r="BT264" s="55" t="s">
        <v>1925</v>
      </c>
    </row>
    <row r="265" spans="1:77" ht="57" customHeight="1" outlineLevel="1" x14ac:dyDescent="0.25">
      <c r="A265" s="106"/>
      <c r="B265" s="107"/>
      <c r="C265" s="104" t="s">
        <v>1853</v>
      </c>
      <c r="D265" s="104" t="s">
        <v>1854</v>
      </c>
      <c r="E265" s="104" t="s">
        <v>10</v>
      </c>
      <c r="F265" s="104">
        <v>463695</v>
      </c>
      <c r="G265" s="104">
        <v>454838</v>
      </c>
      <c r="H265" s="104"/>
      <c r="I265" s="104"/>
      <c r="J265" s="104"/>
      <c r="K265" s="104"/>
      <c r="L265" s="104"/>
      <c r="M265" s="104"/>
      <c r="N265" s="104">
        <f t="shared" si="391"/>
        <v>0</v>
      </c>
      <c r="O265" s="104"/>
      <c r="P265" s="104"/>
      <c r="Q265" s="26"/>
      <c r="R265" s="104"/>
      <c r="S265" s="104"/>
      <c r="T265" s="104"/>
      <c r="U265" s="26">
        <f t="shared" si="377"/>
        <v>150000</v>
      </c>
      <c r="V265" s="113">
        <f t="shared" si="377"/>
        <v>1</v>
      </c>
      <c r="W265" s="113"/>
      <c r="X265" s="113">
        <f t="shared" si="383"/>
        <v>0</v>
      </c>
      <c r="Y265" s="113">
        <v>150000</v>
      </c>
      <c r="Z265" s="113">
        <f t="shared" si="378"/>
        <v>1</v>
      </c>
      <c r="AA265" s="118">
        <v>-150000</v>
      </c>
      <c r="AB265" s="122"/>
      <c r="AC265" s="26">
        <f t="shared" si="346"/>
        <v>0</v>
      </c>
      <c r="AD265" s="104">
        <f t="shared" si="346"/>
        <v>0</v>
      </c>
      <c r="AE265" s="104"/>
      <c r="AF265" s="104">
        <f t="shared" si="384"/>
        <v>0</v>
      </c>
      <c r="AG265" s="104"/>
      <c r="AH265" s="104">
        <f t="shared" si="381"/>
        <v>0</v>
      </c>
      <c r="AI265" s="104">
        <f t="shared" si="385"/>
        <v>0</v>
      </c>
      <c r="AJ265" s="104"/>
      <c r="AK265" s="104">
        <v>1</v>
      </c>
      <c r="AL265" s="104"/>
      <c r="AM265" s="104"/>
      <c r="AN265" s="104">
        <f t="shared" si="342"/>
        <v>-363870</v>
      </c>
      <c r="AO265" s="104"/>
      <c r="AP265" s="113">
        <f t="shared" si="386"/>
        <v>150000</v>
      </c>
      <c r="AQ265" s="113"/>
      <c r="AR265" s="34">
        <f t="shared" si="345"/>
        <v>363870</v>
      </c>
      <c r="AS265" s="10">
        <f t="shared" si="345"/>
        <v>1</v>
      </c>
      <c r="AT265" s="10"/>
      <c r="AU265" s="10">
        <f t="shared" si="392"/>
        <v>0</v>
      </c>
      <c r="AV265" s="10">
        <f>213870+150000</f>
        <v>363870</v>
      </c>
      <c r="AW265" s="10">
        <f t="shared" si="393"/>
        <v>1</v>
      </c>
      <c r="AX265" s="10">
        <f t="shared" si="387"/>
        <v>90967.5</v>
      </c>
      <c r="AY265" s="10">
        <v>1</v>
      </c>
      <c r="AZ265" s="10"/>
      <c r="BA265" s="10"/>
      <c r="BB265" s="10"/>
      <c r="BC265" s="10"/>
      <c r="BD265" s="10"/>
      <c r="BE265" s="26"/>
      <c r="BF265" s="104"/>
      <c r="BG265" s="104"/>
      <c r="BH265" s="104"/>
      <c r="BI265" s="104"/>
      <c r="BJ265" s="104"/>
      <c r="BK265" s="104"/>
      <c r="BL265" s="104"/>
      <c r="BM265" s="104"/>
      <c r="BN265" s="104" t="s">
        <v>1866</v>
      </c>
      <c r="BO265" s="104" t="s">
        <v>1883</v>
      </c>
      <c r="BP265" s="104" t="s">
        <v>1926</v>
      </c>
      <c r="BQ265" s="104" t="s">
        <v>1927</v>
      </c>
      <c r="BR265" s="104" t="s">
        <v>1928</v>
      </c>
      <c r="BS265" s="104" t="s">
        <v>1929</v>
      </c>
      <c r="BT265" s="55" t="s">
        <v>1930</v>
      </c>
    </row>
    <row r="266" spans="1:77" ht="11.25" outlineLevel="1" x14ac:dyDescent="0.25">
      <c r="A266" s="106"/>
      <c r="B266" s="59">
        <v>4</v>
      </c>
      <c r="C266" s="104" t="s">
        <v>8</v>
      </c>
      <c r="D266" s="104"/>
      <c r="E266" s="104"/>
      <c r="F266" s="104">
        <f>F267+F268+F269+F270</f>
        <v>3287304.6</v>
      </c>
      <c r="G266" s="104">
        <f t="shared" ref="G266:BM266" si="394">G267+G268+G269+G270</f>
        <v>3192405</v>
      </c>
      <c r="H266" s="104"/>
      <c r="I266" s="104"/>
      <c r="J266" s="104"/>
      <c r="K266" s="104"/>
      <c r="L266" s="104"/>
      <c r="M266" s="104">
        <f t="shared" si="394"/>
        <v>0</v>
      </c>
      <c r="N266" s="104">
        <f t="shared" si="394"/>
        <v>0</v>
      </c>
      <c r="O266" s="104">
        <v>1256059</v>
      </c>
      <c r="P266" s="104">
        <v>3</v>
      </c>
      <c r="Q266" s="26">
        <v>450000</v>
      </c>
      <c r="R266" s="104">
        <v>2</v>
      </c>
      <c r="S266" s="104">
        <f t="shared" si="338"/>
        <v>450000</v>
      </c>
      <c r="T266" s="104"/>
      <c r="U266" s="26">
        <f t="shared" si="394"/>
        <v>450000</v>
      </c>
      <c r="V266" s="67">
        <f t="shared" si="394"/>
        <v>2</v>
      </c>
      <c r="W266" s="67">
        <f t="shared" si="394"/>
        <v>0</v>
      </c>
      <c r="X266" s="67">
        <f t="shared" si="394"/>
        <v>0</v>
      </c>
      <c r="Y266" s="67">
        <f t="shared" si="394"/>
        <v>450000</v>
      </c>
      <c r="Z266" s="67">
        <f t="shared" si="394"/>
        <v>2</v>
      </c>
      <c r="AA266" s="67">
        <f t="shared" si="394"/>
        <v>-450000</v>
      </c>
      <c r="AB266" s="67">
        <f t="shared" si="394"/>
        <v>0</v>
      </c>
      <c r="AC266" s="26">
        <f t="shared" si="394"/>
        <v>0</v>
      </c>
      <c r="AD266" s="104">
        <f t="shared" si="394"/>
        <v>0</v>
      </c>
      <c r="AE266" s="104">
        <f t="shared" si="394"/>
        <v>0</v>
      </c>
      <c r="AF266" s="104">
        <f t="shared" si="394"/>
        <v>0</v>
      </c>
      <c r="AG266" s="104">
        <f>AG267+AG268+AG269+AG270</f>
        <v>0</v>
      </c>
      <c r="AH266" s="104">
        <f t="shared" si="394"/>
        <v>0</v>
      </c>
      <c r="AI266" s="104">
        <f t="shared" si="394"/>
        <v>0</v>
      </c>
      <c r="AJ266" s="113">
        <f t="shared" si="394"/>
        <v>0</v>
      </c>
      <c r="AK266" s="113">
        <f t="shared" si="394"/>
        <v>2</v>
      </c>
      <c r="AL266" s="113">
        <f t="shared" si="394"/>
        <v>1641994</v>
      </c>
      <c r="AM266" s="113">
        <f t="shared" si="394"/>
        <v>4</v>
      </c>
      <c r="AN266" s="113">
        <f t="shared" si="394"/>
        <v>-450000</v>
      </c>
      <c r="AO266" s="113">
        <f t="shared" si="394"/>
        <v>0</v>
      </c>
      <c r="AP266" s="113">
        <f t="shared" si="394"/>
        <v>450000</v>
      </c>
      <c r="AQ266" s="113">
        <f t="shared" si="394"/>
        <v>0</v>
      </c>
      <c r="AR266" s="26">
        <f t="shared" si="394"/>
        <v>2091994</v>
      </c>
      <c r="AS266" s="104">
        <f t="shared" si="394"/>
        <v>3</v>
      </c>
      <c r="AT266" s="104">
        <f t="shared" si="394"/>
        <v>609039</v>
      </c>
      <c r="AU266" s="104">
        <f t="shared" si="394"/>
        <v>2</v>
      </c>
      <c r="AV266" s="104">
        <f t="shared" si="394"/>
        <v>1482955</v>
      </c>
      <c r="AW266" s="104">
        <f t="shared" si="394"/>
        <v>1</v>
      </c>
      <c r="AX266" s="104">
        <f>AX267+AX268+AX269+AX270</f>
        <v>450980</v>
      </c>
      <c r="AY266" s="104">
        <f t="shared" si="394"/>
        <v>4</v>
      </c>
      <c r="AZ266" s="104">
        <f t="shared" si="394"/>
        <v>0</v>
      </c>
      <c r="BA266" s="104">
        <v>0</v>
      </c>
      <c r="BB266" s="104">
        <v>0</v>
      </c>
      <c r="BC266" s="10">
        <f t="shared" si="343"/>
        <v>0</v>
      </c>
      <c r="BD266" s="104"/>
      <c r="BE266" s="26">
        <f t="shared" si="394"/>
        <v>0</v>
      </c>
      <c r="BF266" s="104">
        <f t="shared" si="394"/>
        <v>0</v>
      </c>
      <c r="BG266" s="104">
        <f t="shared" si="394"/>
        <v>0</v>
      </c>
      <c r="BH266" s="104">
        <f t="shared" si="394"/>
        <v>0</v>
      </c>
      <c r="BI266" s="104">
        <f t="shared" si="394"/>
        <v>0</v>
      </c>
      <c r="BJ266" s="104">
        <f t="shared" si="394"/>
        <v>0</v>
      </c>
      <c r="BK266" s="104">
        <f t="shared" si="394"/>
        <v>0</v>
      </c>
      <c r="BL266" s="104">
        <f t="shared" si="394"/>
        <v>0</v>
      </c>
      <c r="BM266" s="104">
        <f t="shared" si="394"/>
        <v>0</v>
      </c>
      <c r="BN266" s="104"/>
      <c r="BO266" s="104"/>
      <c r="BP266" s="104"/>
      <c r="BQ266" s="104"/>
      <c r="BR266" s="104"/>
      <c r="BS266" s="104"/>
      <c r="BT266" s="55"/>
    </row>
    <row r="267" spans="1:77" ht="48" customHeight="1" outlineLevel="1" x14ac:dyDescent="0.25">
      <c r="A267" s="106"/>
      <c r="B267" s="59">
        <v>1</v>
      </c>
      <c r="C267" s="104" t="s">
        <v>545</v>
      </c>
      <c r="D267" s="104" t="s">
        <v>557</v>
      </c>
      <c r="E267" s="104">
        <v>2016</v>
      </c>
      <c r="F267" s="104">
        <v>477484</v>
      </c>
      <c r="G267" s="104">
        <v>464122</v>
      </c>
      <c r="H267" s="104"/>
      <c r="I267" s="104"/>
      <c r="J267" s="104"/>
      <c r="K267" s="104"/>
      <c r="L267" s="104"/>
      <c r="M267" s="104">
        <v>0</v>
      </c>
      <c r="N267" s="104">
        <f>AC267+AI267</f>
        <v>0</v>
      </c>
      <c r="O267" s="104">
        <v>185649</v>
      </c>
      <c r="P267" s="104">
        <v>1</v>
      </c>
      <c r="Q267" s="26">
        <v>0</v>
      </c>
      <c r="R267" s="104">
        <v>0</v>
      </c>
      <c r="S267" s="104">
        <f t="shared" si="338"/>
        <v>0</v>
      </c>
      <c r="T267" s="104"/>
      <c r="U267" s="26">
        <f t="shared" ref="U267:V270" si="395">W267+Y267</f>
        <v>0</v>
      </c>
      <c r="V267" s="113">
        <f t="shared" si="395"/>
        <v>0</v>
      </c>
      <c r="W267" s="113"/>
      <c r="X267" s="113">
        <f t="shared" ref="X267:X269" si="396">IF(W267,1,0)</f>
        <v>0</v>
      </c>
      <c r="Y267" s="113">
        <v>0</v>
      </c>
      <c r="Z267" s="113">
        <f t="shared" ref="Z267:Z270" si="397">IF(Y267,1,0)</f>
        <v>0</v>
      </c>
      <c r="AA267" s="118">
        <v>0</v>
      </c>
      <c r="AB267" s="122"/>
      <c r="AC267" s="26">
        <f t="shared" si="346"/>
        <v>0</v>
      </c>
      <c r="AD267" s="104">
        <f t="shared" si="346"/>
        <v>0</v>
      </c>
      <c r="AE267" s="104"/>
      <c r="AF267" s="104">
        <f t="shared" ref="AF267:AF269" si="398">IF(AE267,1,0)</f>
        <v>0</v>
      </c>
      <c r="AG267" s="104">
        <v>0</v>
      </c>
      <c r="AH267" s="104">
        <f t="shared" ref="AH267:AH270" si="399">IF(AG267,1,0)</f>
        <v>0</v>
      </c>
      <c r="AI267" s="104">
        <f>AC267/0.8*0.2</f>
        <v>0</v>
      </c>
      <c r="AJ267" s="104"/>
      <c r="AK267" s="104"/>
      <c r="AL267" s="104">
        <v>159368</v>
      </c>
      <c r="AM267" s="104">
        <v>1</v>
      </c>
      <c r="AN267" s="104">
        <f t="shared" si="342"/>
        <v>0</v>
      </c>
      <c r="AO267" s="104"/>
      <c r="AP267" s="113">
        <f t="shared" si="386"/>
        <v>0</v>
      </c>
      <c r="AQ267" s="113"/>
      <c r="AR267" s="34">
        <f t="shared" si="345"/>
        <v>159368</v>
      </c>
      <c r="AS267" s="10">
        <v>1</v>
      </c>
      <c r="AT267" s="10">
        <v>159368</v>
      </c>
      <c r="AU267" s="10">
        <v>1</v>
      </c>
      <c r="AV267" s="10"/>
      <c r="AW267" s="10">
        <v>0</v>
      </c>
      <c r="AX267" s="10">
        <v>30324</v>
      </c>
      <c r="AY267" s="10">
        <v>1</v>
      </c>
      <c r="AZ267" s="10"/>
      <c r="BA267" s="10">
        <v>0</v>
      </c>
      <c r="BB267" s="10">
        <v>0</v>
      </c>
      <c r="BC267" s="10">
        <f t="shared" si="343"/>
        <v>0</v>
      </c>
      <c r="BD267" s="10"/>
      <c r="BE267" s="26">
        <f t="shared" si="388"/>
        <v>0</v>
      </c>
      <c r="BF267" s="104">
        <f t="shared" si="388"/>
        <v>0</v>
      </c>
      <c r="BG267" s="104"/>
      <c r="BH267" s="104">
        <f t="shared" si="389"/>
        <v>0</v>
      </c>
      <c r="BI267" s="104"/>
      <c r="BJ267" s="104">
        <f t="shared" si="390"/>
        <v>0</v>
      </c>
      <c r="BK267" s="104"/>
      <c r="BL267" s="104"/>
      <c r="BM267" s="104"/>
      <c r="BN267" s="104" t="s">
        <v>558</v>
      </c>
      <c r="BO267" s="104" t="s">
        <v>1693</v>
      </c>
      <c r="BP267" s="104" t="s">
        <v>560</v>
      </c>
      <c r="BQ267" s="104" t="s">
        <v>559</v>
      </c>
      <c r="BR267" s="104" t="s">
        <v>1300</v>
      </c>
      <c r="BS267" s="104" t="s">
        <v>1694</v>
      </c>
      <c r="BT267" s="55" t="s">
        <v>1546</v>
      </c>
    </row>
    <row r="268" spans="1:77" ht="35.25" customHeight="1" outlineLevel="1" x14ac:dyDescent="0.25">
      <c r="A268" s="106"/>
      <c r="B268" s="59">
        <v>2</v>
      </c>
      <c r="C268" s="104" t="s">
        <v>546</v>
      </c>
      <c r="D268" s="104" t="s">
        <v>567</v>
      </c>
      <c r="E268" s="104">
        <v>2016</v>
      </c>
      <c r="F268" s="104">
        <v>907128.6</v>
      </c>
      <c r="G268" s="104">
        <v>874589</v>
      </c>
      <c r="H268" s="104"/>
      <c r="I268" s="104"/>
      <c r="J268" s="104"/>
      <c r="K268" s="104"/>
      <c r="L268" s="104"/>
      <c r="M268" s="104">
        <v>0</v>
      </c>
      <c r="N268" s="104">
        <f t="shared" ref="N268:N270" si="400">AC268+AI268</f>
        <v>0</v>
      </c>
      <c r="O268" s="104">
        <v>699671</v>
      </c>
      <c r="P268" s="104">
        <v>1</v>
      </c>
      <c r="Q268" s="26">
        <v>0</v>
      </c>
      <c r="R268" s="104">
        <v>0</v>
      </c>
      <c r="S268" s="104">
        <f t="shared" si="338"/>
        <v>0</v>
      </c>
      <c r="T268" s="104"/>
      <c r="U268" s="26">
        <f t="shared" si="395"/>
        <v>0</v>
      </c>
      <c r="V268" s="113">
        <f t="shared" si="395"/>
        <v>0</v>
      </c>
      <c r="W268" s="113"/>
      <c r="X268" s="113">
        <f t="shared" si="396"/>
        <v>0</v>
      </c>
      <c r="Y268" s="113">
        <v>0</v>
      </c>
      <c r="Z268" s="113">
        <f t="shared" si="397"/>
        <v>0</v>
      </c>
      <c r="AA268" s="118">
        <v>0</v>
      </c>
      <c r="AB268" s="122"/>
      <c r="AC268" s="26">
        <f t="shared" si="346"/>
        <v>0</v>
      </c>
      <c r="AD268" s="104">
        <f t="shared" si="346"/>
        <v>0</v>
      </c>
      <c r="AE268" s="104"/>
      <c r="AF268" s="104">
        <f t="shared" si="398"/>
        <v>0</v>
      </c>
      <c r="AG268" s="104">
        <v>0</v>
      </c>
      <c r="AH268" s="104">
        <f t="shared" si="399"/>
        <v>0</v>
      </c>
      <c r="AI268" s="104">
        <f>AC268/0.8*0.2</f>
        <v>0</v>
      </c>
      <c r="AJ268" s="104"/>
      <c r="AK268" s="104"/>
      <c r="AL268" s="104">
        <v>449671</v>
      </c>
      <c r="AM268" s="104">
        <v>1</v>
      </c>
      <c r="AN268" s="104">
        <f t="shared" si="342"/>
        <v>0</v>
      </c>
      <c r="AO268" s="104"/>
      <c r="AP268" s="113">
        <f t="shared" si="386"/>
        <v>0</v>
      </c>
      <c r="AQ268" s="113"/>
      <c r="AR268" s="34">
        <f t="shared" si="345"/>
        <v>449671</v>
      </c>
      <c r="AS268" s="10">
        <f t="shared" si="345"/>
        <v>1</v>
      </c>
      <c r="AT268" s="10">
        <v>449671</v>
      </c>
      <c r="AU268" s="10">
        <f t="shared" si="392"/>
        <v>1</v>
      </c>
      <c r="AV268" s="10"/>
      <c r="AW268" s="10">
        <f t="shared" si="393"/>
        <v>0</v>
      </c>
      <c r="AX268" s="10">
        <f>AR268/0.8*0.2</f>
        <v>112417.75</v>
      </c>
      <c r="AY268" s="10">
        <v>1</v>
      </c>
      <c r="AZ268" s="10"/>
      <c r="BA268" s="10">
        <v>0</v>
      </c>
      <c r="BB268" s="10">
        <v>0</v>
      </c>
      <c r="BC268" s="10">
        <f t="shared" si="343"/>
        <v>0</v>
      </c>
      <c r="BD268" s="10"/>
      <c r="BE268" s="26">
        <f t="shared" si="388"/>
        <v>0</v>
      </c>
      <c r="BF268" s="104">
        <f t="shared" si="388"/>
        <v>0</v>
      </c>
      <c r="BG268" s="104"/>
      <c r="BH268" s="104">
        <f t="shared" si="389"/>
        <v>0</v>
      </c>
      <c r="BI268" s="104"/>
      <c r="BJ268" s="104">
        <f t="shared" si="390"/>
        <v>0</v>
      </c>
      <c r="BK268" s="104"/>
      <c r="BL268" s="104"/>
      <c r="BM268" s="104"/>
      <c r="BN268" s="104" t="s">
        <v>568</v>
      </c>
      <c r="BO268" s="104" t="s">
        <v>1693</v>
      </c>
      <c r="BP268" s="104" t="s">
        <v>571</v>
      </c>
      <c r="BQ268" s="104" t="s">
        <v>570</v>
      </c>
      <c r="BR268" s="104" t="s">
        <v>569</v>
      </c>
      <c r="BS268" s="104" t="s">
        <v>572</v>
      </c>
      <c r="BT268" s="55" t="s">
        <v>1547</v>
      </c>
    </row>
    <row r="269" spans="1:77" ht="36.75" customHeight="1" outlineLevel="1" x14ac:dyDescent="0.25">
      <c r="A269" s="106"/>
      <c r="B269" s="59">
        <v>3</v>
      </c>
      <c r="C269" s="104" t="s">
        <v>1827</v>
      </c>
      <c r="D269" s="104" t="s">
        <v>561</v>
      </c>
      <c r="E269" s="104" t="s">
        <v>10</v>
      </c>
      <c r="F269" s="104">
        <v>951346</v>
      </c>
      <c r="G269" s="104">
        <v>926847</v>
      </c>
      <c r="H269" s="104"/>
      <c r="I269" s="104"/>
      <c r="J269" s="104"/>
      <c r="K269" s="104"/>
      <c r="L269" s="104"/>
      <c r="M269" s="104">
        <v>0</v>
      </c>
      <c r="N269" s="104">
        <f t="shared" si="400"/>
        <v>0</v>
      </c>
      <c r="O269" s="104">
        <v>370739</v>
      </c>
      <c r="P269" s="104">
        <v>1</v>
      </c>
      <c r="Q269" s="26">
        <v>250000</v>
      </c>
      <c r="R269" s="104">
        <v>1</v>
      </c>
      <c r="S269" s="104">
        <f t="shared" si="338"/>
        <v>250000</v>
      </c>
      <c r="T269" s="104"/>
      <c r="U269" s="26">
        <f t="shared" si="395"/>
        <v>250000</v>
      </c>
      <c r="V269" s="113">
        <f t="shared" si="395"/>
        <v>1</v>
      </c>
      <c r="W269" s="113"/>
      <c r="X269" s="113">
        <f t="shared" si="396"/>
        <v>0</v>
      </c>
      <c r="Y269" s="113">
        <v>250000</v>
      </c>
      <c r="Z269" s="113">
        <f t="shared" si="397"/>
        <v>1</v>
      </c>
      <c r="AA269" s="118">
        <v>-250000</v>
      </c>
      <c r="AB269" s="122"/>
      <c r="AC269" s="26">
        <f t="shared" si="346"/>
        <v>0</v>
      </c>
      <c r="AD269" s="104">
        <f t="shared" si="346"/>
        <v>0</v>
      </c>
      <c r="AE269" s="104"/>
      <c r="AF269" s="104">
        <f t="shared" si="398"/>
        <v>0</v>
      </c>
      <c r="AG269" s="104"/>
      <c r="AH269" s="104">
        <f t="shared" si="399"/>
        <v>0</v>
      </c>
      <c r="AI269" s="104">
        <f>AG269/0.8*0.2</f>
        <v>0</v>
      </c>
      <c r="AJ269" s="104"/>
      <c r="AK269" s="104">
        <v>1</v>
      </c>
      <c r="AL269" s="104">
        <v>491478</v>
      </c>
      <c r="AM269" s="104">
        <v>1</v>
      </c>
      <c r="AN269" s="104">
        <f t="shared" si="342"/>
        <v>-250000</v>
      </c>
      <c r="AO269" s="104"/>
      <c r="AP269" s="113">
        <f t="shared" si="386"/>
        <v>250000</v>
      </c>
      <c r="AQ269" s="113"/>
      <c r="AR269" s="34">
        <f t="shared" si="345"/>
        <v>741478</v>
      </c>
      <c r="AS269" s="10">
        <f t="shared" si="345"/>
        <v>1</v>
      </c>
      <c r="AT269" s="10"/>
      <c r="AU269" s="10">
        <f t="shared" si="392"/>
        <v>0</v>
      </c>
      <c r="AV269" s="10">
        <f>491478+250000</f>
        <v>741478</v>
      </c>
      <c r="AW269" s="10">
        <f t="shared" si="393"/>
        <v>1</v>
      </c>
      <c r="AX269" s="10">
        <v>122869</v>
      </c>
      <c r="AY269" s="10">
        <v>1</v>
      </c>
      <c r="AZ269" s="10"/>
      <c r="BA269" s="10">
        <v>0</v>
      </c>
      <c r="BB269" s="10">
        <v>0</v>
      </c>
      <c r="BC269" s="10">
        <f t="shared" si="343"/>
        <v>0</v>
      </c>
      <c r="BD269" s="10"/>
      <c r="BE269" s="26">
        <f t="shared" si="388"/>
        <v>0</v>
      </c>
      <c r="BF269" s="104">
        <f t="shared" si="388"/>
        <v>0</v>
      </c>
      <c r="BG269" s="104"/>
      <c r="BH269" s="104">
        <f t="shared" si="389"/>
        <v>0</v>
      </c>
      <c r="BI269" s="104"/>
      <c r="BJ269" s="104">
        <f t="shared" si="390"/>
        <v>0</v>
      </c>
      <c r="BK269" s="104"/>
      <c r="BL269" s="104"/>
      <c r="BM269" s="104"/>
      <c r="BN269" s="104" t="s">
        <v>566</v>
      </c>
      <c r="BO269" s="104" t="s">
        <v>1693</v>
      </c>
      <c r="BP269" s="104" t="s">
        <v>564</v>
      </c>
      <c r="BQ269" s="104" t="s">
        <v>563</v>
      </c>
      <c r="BR269" s="104" t="s">
        <v>562</v>
      </c>
      <c r="BS269" s="104" t="s">
        <v>565</v>
      </c>
      <c r="BT269" s="55" t="s">
        <v>1548</v>
      </c>
    </row>
    <row r="270" spans="1:77" ht="56.25" customHeight="1" outlineLevel="1" x14ac:dyDescent="0.25">
      <c r="A270" s="106"/>
      <c r="B270" s="59">
        <v>4</v>
      </c>
      <c r="C270" s="104" t="s">
        <v>1431</v>
      </c>
      <c r="D270" s="104" t="s">
        <v>1723</v>
      </c>
      <c r="E270" s="104">
        <v>2016</v>
      </c>
      <c r="F270" s="104">
        <v>951346</v>
      </c>
      <c r="G270" s="104">
        <v>926847</v>
      </c>
      <c r="H270" s="104"/>
      <c r="I270" s="104"/>
      <c r="J270" s="104"/>
      <c r="K270" s="104"/>
      <c r="L270" s="104"/>
      <c r="M270" s="104">
        <v>0</v>
      </c>
      <c r="N270" s="104">
        <f t="shared" si="400"/>
        <v>0</v>
      </c>
      <c r="O270" s="104"/>
      <c r="P270" s="104"/>
      <c r="Q270" s="26">
        <v>200000</v>
      </c>
      <c r="R270" s="104">
        <v>1</v>
      </c>
      <c r="S270" s="104">
        <f t="shared" si="338"/>
        <v>200000</v>
      </c>
      <c r="T270" s="104"/>
      <c r="U270" s="26">
        <f t="shared" si="395"/>
        <v>200000</v>
      </c>
      <c r="V270" s="113">
        <f t="shared" si="395"/>
        <v>1</v>
      </c>
      <c r="W270" s="113"/>
      <c r="X270" s="113"/>
      <c r="Y270" s="113">
        <v>200000</v>
      </c>
      <c r="Z270" s="113">
        <f t="shared" si="397"/>
        <v>1</v>
      </c>
      <c r="AA270" s="118">
        <v>-200000</v>
      </c>
      <c r="AB270" s="122"/>
      <c r="AC270" s="26">
        <f t="shared" si="346"/>
        <v>0</v>
      </c>
      <c r="AD270" s="104">
        <f t="shared" si="346"/>
        <v>0</v>
      </c>
      <c r="AE270" s="104"/>
      <c r="AF270" s="104"/>
      <c r="AG270" s="104"/>
      <c r="AH270" s="104">
        <f t="shared" si="399"/>
        <v>0</v>
      </c>
      <c r="AI270" s="104">
        <f>AC270/0.8*0.2</f>
        <v>0</v>
      </c>
      <c r="AJ270" s="104"/>
      <c r="AK270" s="104">
        <v>1</v>
      </c>
      <c r="AL270" s="104">
        <v>541477</v>
      </c>
      <c r="AM270" s="104">
        <v>1</v>
      </c>
      <c r="AN270" s="104">
        <f t="shared" si="342"/>
        <v>-200000</v>
      </c>
      <c r="AO270" s="104"/>
      <c r="AP270" s="113">
        <f t="shared" si="386"/>
        <v>200000</v>
      </c>
      <c r="AQ270" s="113"/>
      <c r="AR270" s="34">
        <f t="shared" si="345"/>
        <v>741477</v>
      </c>
      <c r="AS270" s="10">
        <f t="shared" si="345"/>
        <v>0</v>
      </c>
      <c r="AT270" s="10"/>
      <c r="AU270" s="10">
        <f t="shared" si="392"/>
        <v>0</v>
      </c>
      <c r="AV270" s="10">
        <f>541477+200000</f>
        <v>741477</v>
      </c>
      <c r="AW270" s="10"/>
      <c r="AX270" s="10">
        <f>AR270/0.8*0.2</f>
        <v>185369.25</v>
      </c>
      <c r="AY270" s="10">
        <v>1</v>
      </c>
      <c r="AZ270" s="10"/>
      <c r="BA270" s="10">
        <v>0</v>
      </c>
      <c r="BB270" s="10"/>
      <c r="BC270" s="10">
        <f t="shared" si="343"/>
        <v>0</v>
      </c>
      <c r="BD270" s="10"/>
      <c r="BE270" s="26">
        <f t="shared" si="388"/>
        <v>0</v>
      </c>
      <c r="BF270" s="104"/>
      <c r="BG270" s="104"/>
      <c r="BH270" s="104"/>
      <c r="BI270" s="104"/>
      <c r="BJ270" s="104"/>
      <c r="BK270" s="104">
        <f>BE270/0.8*0.2</f>
        <v>0</v>
      </c>
      <c r="BL270" s="104"/>
      <c r="BM270" s="104"/>
      <c r="BN270" s="104" t="s">
        <v>1749</v>
      </c>
      <c r="BO270" s="104" t="s">
        <v>1693</v>
      </c>
      <c r="BP270" s="104" t="s">
        <v>1750</v>
      </c>
      <c r="BQ270" s="104" t="s">
        <v>1751</v>
      </c>
      <c r="BR270" s="104" t="s">
        <v>1752</v>
      </c>
      <c r="BS270" s="104" t="s">
        <v>1753</v>
      </c>
      <c r="BT270" s="55" t="s">
        <v>1754</v>
      </c>
    </row>
    <row r="271" spans="1:77" s="35" customFormat="1" ht="22.5" x14ac:dyDescent="0.25">
      <c r="A271" s="48"/>
      <c r="B271" s="57">
        <v>45</v>
      </c>
      <c r="C271" s="26" t="s">
        <v>542</v>
      </c>
      <c r="D271" s="26"/>
      <c r="E271" s="26"/>
      <c r="F271" s="26">
        <f>F272</f>
        <v>8700080.7569999993</v>
      </c>
      <c r="G271" s="26">
        <f t="shared" ref="G271:BT271" si="401">G272</f>
        <v>8446298.9570000023</v>
      </c>
      <c r="H271" s="26"/>
      <c r="I271" s="26"/>
      <c r="J271" s="26"/>
      <c r="K271" s="26"/>
      <c r="L271" s="26"/>
      <c r="M271" s="26">
        <f t="shared" si="401"/>
        <v>2651184</v>
      </c>
      <c r="N271" s="26">
        <f t="shared" si="401"/>
        <v>2429998.8888888895</v>
      </c>
      <c r="O271" s="26">
        <v>5528037</v>
      </c>
      <c r="P271" s="26">
        <v>61</v>
      </c>
      <c r="Q271" s="26">
        <v>3122256</v>
      </c>
      <c r="R271" s="26">
        <v>36</v>
      </c>
      <c r="S271" s="26">
        <f t="shared" si="401"/>
        <v>937257</v>
      </c>
      <c r="T271" s="26">
        <f t="shared" si="401"/>
        <v>0</v>
      </c>
      <c r="U271" s="26">
        <f t="shared" si="401"/>
        <v>2954159</v>
      </c>
      <c r="V271" s="26">
        <f t="shared" si="401"/>
        <v>36</v>
      </c>
      <c r="W271" s="26">
        <f t="shared" si="401"/>
        <v>2124999</v>
      </c>
      <c r="X271" s="26">
        <f t="shared" si="401"/>
        <v>29</v>
      </c>
      <c r="Y271" s="26">
        <f t="shared" si="401"/>
        <v>829160</v>
      </c>
      <c r="Z271" s="26">
        <f t="shared" si="401"/>
        <v>7</v>
      </c>
      <c r="AA271" s="26">
        <f t="shared" si="401"/>
        <v>-829160</v>
      </c>
      <c r="AB271" s="26">
        <f t="shared" si="401"/>
        <v>62000</v>
      </c>
      <c r="AC271" s="26">
        <f t="shared" si="401"/>
        <v>2186999</v>
      </c>
      <c r="AD271" s="26">
        <f t="shared" si="346"/>
        <v>31</v>
      </c>
      <c r="AE271" s="26">
        <f t="shared" si="401"/>
        <v>2186999</v>
      </c>
      <c r="AF271" s="26">
        <f t="shared" si="401"/>
        <v>31</v>
      </c>
      <c r="AG271" s="26">
        <f t="shared" si="401"/>
        <v>0</v>
      </c>
      <c r="AH271" s="26">
        <f t="shared" si="401"/>
        <v>0</v>
      </c>
      <c r="AI271" s="26">
        <f t="shared" si="401"/>
        <v>242999.88888888891</v>
      </c>
      <c r="AJ271" s="67">
        <f t="shared" si="401"/>
        <v>32</v>
      </c>
      <c r="AK271" s="67">
        <f t="shared" si="401"/>
        <v>4</v>
      </c>
      <c r="AL271" s="67">
        <f t="shared" si="401"/>
        <v>2047656</v>
      </c>
      <c r="AM271" s="67">
        <f t="shared" si="401"/>
        <v>13</v>
      </c>
      <c r="AN271" s="67">
        <f t="shared" si="401"/>
        <v>-891160</v>
      </c>
      <c r="AO271" s="67">
        <f t="shared" si="401"/>
        <v>0</v>
      </c>
      <c r="AP271" s="67">
        <f t="shared" si="401"/>
        <v>767160</v>
      </c>
      <c r="AQ271" s="67">
        <f t="shared" si="401"/>
        <v>0</v>
      </c>
      <c r="AR271" s="26">
        <f t="shared" si="401"/>
        <v>2938816</v>
      </c>
      <c r="AS271" s="67">
        <f t="shared" si="401"/>
        <v>21</v>
      </c>
      <c r="AT271" s="26">
        <f t="shared" si="401"/>
        <v>62000</v>
      </c>
      <c r="AU271" s="26">
        <f t="shared" si="401"/>
        <v>5</v>
      </c>
      <c r="AV271" s="26">
        <f t="shared" si="401"/>
        <v>2876816</v>
      </c>
      <c r="AW271" s="26">
        <f t="shared" si="401"/>
        <v>16</v>
      </c>
      <c r="AX271" s="26">
        <f t="shared" si="401"/>
        <v>326535.11111111107</v>
      </c>
      <c r="AY271" s="26">
        <f t="shared" si="401"/>
        <v>13</v>
      </c>
      <c r="AZ271" s="26">
        <f t="shared" si="401"/>
        <v>0</v>
      </c>
      <c r="BA271" s="26">
        <v>0</v>
      </c>
      <c r="BB271" s="26">
        <v>0</v>
      </c>
      <c r="BC271" s="10">
        <f t="shared" si="343"/>
        <v>0</v>
      </c>
      <c r="BD271" s="26"/>
      <c r="BE271" s="26">
        <f t="shared" si="401"/>
        <v>0</v>
      </c>
      <c r="BF271" s="67">
        <f t="shared" si="401"/>
        <v>0</v>
      </c>
      <c r="BG271" s="26">
        <f t="shared" si="401"/>
        <v>0</v>
      </c>
      <c r="BH271" s="26">
        <f t="shared" si="401"/>
        <v>0</v>
      </c>
      <c r="BI271" s="26">
        <f t="shared" si="401"/>
        <v>0</v>
      </c>
      <c r="BJ271" s="26">
        <f t="shared" si="401"/>
        <v>0</v>
      </c>
      <c r="BK271" s="26">
        <f t="shared" si="401"/>
        <v>0</v>
      </c>
      <c r="BL271" s="26">
        <f t="shared" si="401"/>
        <v>0</v>
      </c>
      <c r="BM271" s="26">
        <f t="shared" si="401"/>
        <v>0</v>
      </c>
      <c r="BN271" s="26">
        <f t="shared" si="401"/>
        <v>0</v>
      </c>
      <c r="BO271" s="26">
        <f t="shared" si="401"/>
        <v>0</v>
      </c>
      <c r="BP271" s="26">
        <f t="shared" si="401"/>
        <v>0</v>
      </c>
      <c r="BQ271" s="26">
        <f t="shared" si="401"/>
        <v>0</v>
      </c>
      <c r="BR271" s="26">
        <f t="shared" si="401"/>
        <v>0</v>
      </c>
      <c r="BS271" s="26">
        <f t="shared" si="401"/>
        <v>0</v>
      </c>
      <c r="BT271" s="58">
        <f t="shared" si="401"/>
        <v>0</v>
      </c>
      <c r="BU271" s="25"/>
      <c r="BV271" s="25"/>
      <c r="BW271" s="25"/>
      <c r="BX271" s="25"/>
      <c r="BY271" s="25"/>
    </row>
    <row r="272" spans="1:77" ht="11.25" hidden="1" outlineLevel="1" x14ac:dyDescent="0.25">
      <c r="A272" s="106"/>
      <c r="B272" s="59">
        <v>45</v>
      </c>
      <c r="C272" s="104" t="s">
        <v>198</v>
      </c>
      <c r="D272" s="104"/>
      <c r="E272" s="104"/>
      <c r="F272" s="104">
        <f>SUM(F273:F319)</f>
        <v>8700080.7569999993</v>
      </c>
      <c r="G272" s="104">
        <f>SUM(G273:G319)</f>
        <v>8446298.9570000023</v>
      </c>
      <c r="H272" s="104"/>
      <c r="I272" s="104"/>
      <c r="J272" s="104"/>
      <c r="K272" s="104"/>
      <c r="L272" s="104"/>
      <c r="M272" s="104">
        <f>SUM(M273:M319)</f>
        <v>2651184</v>
      </c>
      <c r="N272" s="104">
        <f>SUM(N273:N319)</f>
        <v>2429998.8888888895</v>
      </c>
      <c r="O272" s="104">
        <v>5528037</v>
      </c>
      <c r="P272" s="104">
        <v>61</v>
      </c>
      <c r="Q272" s="26">
        <v>3122256</v>
      </c>
      <c r="R272" s="104">
        <v>36</v>
      </c>
      <c r="S272" s="26">
        <f t="shared" ref="S272:AI272" si="402">SUM(S273:S319)</f>
        <v>937257</v>
      </c>
      <c r="T272" s="26">
        <f t="shared" si="402"/>
        <v>0</v>
      </c>
      <c r="U272" s="26">
        <f t="shared" ref="U272:V272" si="403">SUM(U273:U319)</f>
        <v>2954159</v>
      </c>
      <c r="V272" s="67">
        <f t="shared" si="403"/>
        <v>36</v>
      </c>
      <c r="W272" s="67">
        <f t="shared" ref="W272:AC272" si="404">SUM(W273:W319)</f>
        <v>2124999</v>
      </c>
      <c r="X272" s="67">
        <f t="shared" si="404"/>
        <v>29</v>
      </c>
      <c r="Y272" s="67">
        <f t="shared" si="404"/>
        <v>829160</v>
      </c>
      <c r="Z272" s="67">
        <f t="shared" si="404"/>
        <v>7</v>
      </c>
      <c r="AA272" s="67">
        <f t="shared" ref="AA272:AB272" si="405">SUM(AA273:AA319)</f>
        <v>-829160</v>
      </c>
      <c r="AB272" s="67">
        <f t="shared" si="405"/>
        <v>62000</v>
      </c>
      <c r="AC272" s="26">
        <f t="shared" si="404"/>
        <v>2186999</v>
      </c>
      <c r="AD272" s="104">
        <f t="shared" si="402"/>
        <v>29</v>
      </c>
      <c r="AE272" s="104">
        <f t="shared" si="402"/>
        <v>2186999</v>
      </c>
      <c r="AF272" s="104">
        <f t="shared" si="402"/>
        <v>31</v>
      </c>
      <c r="AG272" s="104">
        <f t="shared" si="402"/>
        <v>0</v>
      </c>
      <c r="AH272" s="104">
        <f t="shared" si="402"/>
        <v>0</v>
      </c>
      <c r="AI272" s="104">
        <f t="shared" si="402"/>
        <v>242999.88888888891</v>
      </c>
      <c r="AJ272" s="113">
        <f t="shared" ref="AJ272:AQ272" si="406">SUM(AJ273:AJ319)</f>
        <v>32</v>
      </c>
      <c r="AK272" s="113">
        <f t="shared" si="406"/>
        <v>4</v>
      </c>
      <c r="AL272" s="113">
        <f t="shared" si="406"/>
        <v>2047656</v>
      </c>
      <c r="AM272" s="113">
        <f t="shared" si="406"/>
        <v>13</v>
      </c>
      <c r="AN272" s="113">
        <f t="shared" si="406"/>
        <v>-891160</v>
      </c>
      <c r="AO272" s="113">
        <f t="shared" si="406"/>
        <v>0</v>
      </c>
      <c r="AP272" s="113">
        <f t="shared" si="406"/>
        <v>767160</v>
      </c>
      <c r="AQ272" s="113">
        <f t="shared" si="406"/>
        <v>0</v>
      </c>
      <c r="AR272" s="26">
        <f t="shared" ref="AR272:AZ272" si="407">SUM(AR273:AR319)</f>
        <v>2938816</v>
      </c>
      <c r="AS272" s="104">
        <f t="shared" si="407"/>
        <v>21</v>
      </c>
      <c r="AT272" s="104">
        <f t="shared" si="407"/>
        <v>62000</v>
      </c>
      <c r="AU272" s="104">
        <f t="shared" si="407"/>
        <v>5</v>
      </c>
      <c r="AV272" s="104">
        <f t="shared" si="407"/>
        <v>2876816</v>
      </c>
      <c r="AW272" s="104">
        <f t="shared" si="407"/>
        <v>16</v>
      </c>
      <c r="AX272" s="104">
        <f t="shared" si="407"/>
        <v>326535.11111111107</v>
      </c>
      <c r="AY272" s="104">
        <f t="shared" si="407"/>
        <v>13</v>
      </c>
      <c r="AZ272" s="104">
        <f t="shared" si="407"/>
        <v>0</v>
      </c>
      <c r="BA272" s="104">
        <v>0</v>
      </c>
      <c r="BB272" s="104">
        <v>0</v>
      </c>
      <c r="BC272" s="10">
        <f t="shared" si="343"/>
        <v>0</v>
      </c>
      <c r="BD272" s="104"/>
      <c r="BE272" s="26">
        <f t="shared" ref="BE272:BT272" si="408">SUM(BE273:BE319)</f>
        <v>0</v>
      </c>
      <c r="BF272" s="104">
        <f t="shared" si="408"/>
        <v>0</v>
      </c>
      <c r="BG272" s="104">
        <f t="shared" si="408"/>
        <v>0</v>
      </c>
      <c r="BH272" s="104">
        <f t="shared" si="408"/>
        <v>0</v>
      </c>
      <c r="BI272" s="104">
        <f t="shared" si="408"/>
        <v>0</v>
      </c>
      <c r="BJ272" s="104">
        <f t="shared" si="408"/>
        <v>0</v>
      </c>
      <c r="BK272" s="104">
        <f t="shared" si="408"/>
        <v>0</v>
      </c>
      <c r="BL272" s="104">
        <f t="shared" si="408"/>
        <v>0</v>
      </c>
      <c r="BM272" s="104">
        <f t="shared" si="408"/>
        <v>0</v>
      </c>
      <c r="BN272" s="104">
        <f t="shared" si="408"/>
        <v>0</v>
      </c>
      <c r="BO272" s="104">
        <f t="shared" si="408"/>
        <v>0</v>
      </c>
      <c r="BP272" s="104">
        <f t="shared" si="408"/>
        <v>0</v>
      </c>
      <c r="BQ272" s="104">
        <f t="shared" si="408"/>
        <v>0</v>
      </c>
      <c r="BR272" s="104">
        <f t="shared" si="408"/>
        <v>0</v>
      </c>
      <c r="BS272" s="104">
        <f t="shared" si="408"/>
        <v>0</v>
      </c>
      <c r="BT272" s="55">
        <f t="shared" si="408"/>
        <v>0</v>
      </c>
    </row>
    <row r="273" spans="1:72" ht="41.25" customHeight="1" outlineLevel="1" x14ac:dyDescent="0.25">
      <c r="A273" s="106"/>
      <c r="B273" s="59">
        <v>1</v>
      </c>
      <c r="C273" s="104" t="s">
        <v>195</v>
      </c>
      <c r="D273" s="104" t="s">
        <v>574</v>
      </c>
      <c r="E273" s="104" t="s">
        <v>9</v>
      </c>
      <c r="F273" s="104">
        <v>276650</v>
      </c>
      <c r="G273" s="104">
        <v>241220</v>
      </c>
      <c r="H273" s="104">
        <v>228415</v>
      </c>
      <c r="I273" s="104">
        <f t="shared" ref="I273:I301" si="409">G273-H273</f>
        <v>12805</v>
      </c>
      <c r="J273" s="104">
        <v>1</v>
      </c>
      <c r="K273" s="104">
        <v>1</v>
      </c>
      <c r="L273" s="104"/>
      <c r="M273" s="104">
        <v>153551</v>
      </c>
      <c r="N273" s="104">
        <f>AC273+AI273</f>
        <v>74863.333333333328</v>
      </c>
      <c r="O273" s="104">
        <v>95211</v>
      </c>
      <c r="P273" s="104">
        <v>1</v>
      </c>
      <c r="Q273" s="26">
        <v>95211</v>
      </c>
      <c r="R273" s="104">
        <v>1</v>
      </c>
      <c r="S273" s="104">
        <f t="shared" si="338"/>
        <v>27834</v>
      </c>
      <c r="T273" s="104"/>
      <c r="U273" s="26">
        <f t="shared" ref="U273:V301" si="410">W273+Y273</f>
        <v>67377</v>
      </c>
      <c r="V273" s="113">
        <f t="shared" si="410"/>
        <v>1</v>
      </c>
      <c r="W273" s="113">
        <v>67377</v>
      </c>
      <c r="X273" s="113">
        <f t="shared" ref="X273:X301" si="411">IF(W273,1,0)</f>
        <v>1</v>
      </c>
      <c r="Y273" s="113"/>
      <c r="Z273" s="113">
        <f t="shared" ref="Z273:Z301" si="412">IF(Y273,1,0)</f>
        <v>0</v>
      </c>
      <c r="AA273" s="118">
        <v>0</v>
      </c>
      <c r="AB273" s="122"/>
      <c r="AC273" s="26">
        <f t="shared" si="346"/>
        <v>67377</v>
      </c>
      <c r="AD273" s="104">
        <f t="shared" si="346"/>
        <v>1</v>
      </c>
      <c r="AE273" s="104">
        <v>67377</v>
      </c>
      <c r="AF273" s="104">
        <f t="shared" ref="AF273:AF319" si="413">IF(AE273,1,0)</f>
        <v>1</v>
      </c>
      <c r="AG273" s="104"/>
      <c r="AH273" s="104">
        <f t="shared" ref="AH273:AH319" si="414">IF(AG273,1,0)</f>
        <v>0</v>
      </c>
      <c r="AI273" s="104">
        <f>AC273/0.9*0.1</f>
        <v>7486.333333333333</v>
      </c>
      <c r="AJ273" s="104">
        <v>1</v>
      </c>
      <c r="AK273" s="104"/>
      <c r="AL273" s="104">
        <v>0</v>
      </c>
      <c r="AM273" s="104">
        <v>0</v>
      </c>
      <c r="AN273" s="104">
        <f t="shared" si="342"/>
        <v>0</v>
      </c>
      <c r="AO273" s="104"/>
      <c r="AP273" s="113">
        <f>U273-AC273</f>
        <v>0</v>
      </c>
      <c r="AQ273" s="113"/>
      <c r="AR273" s="34">
        <f t="shared" si="345"/>
        <v>0</v>
      </c>
      <c r="AS273" s="10">
        <v>0</v>
      </c>
      <c r="AT273" s="10">
        <v>0</v>
      </c>
      <c r="AU273" s="10"/>
      <c r="AV273" s="10">
        <v>0</v>
      </c>
      <c r="AW273" s="10">
        <v>0</v>
      </c>
      <c r="AX273" s="10">
        <f>AR273/0.9*0.1</f>
        <v>0</v>
      </c>
      <c r="AY273" s="10"/>
      <c r="AZ273" s="10"/>
      <c r="BA273" s="10">
        <v>0</v>
      </c>
      <c r="BB273" s="10">
        <v>0</v>
      </c>
      <c r="BC273" s="10">
        <f t="shared" si="343"/>
        <v>0</v>
      </c>
      <c r="BD273" s="10"/>
      <c r="BE273" s="26">
        <f t="shared" si="388"/>
        <v>0</v>
      </c>
      <c r="BF273" s="104">
        <f t="shared" si="388"/>
        <v>0</v>
      </c>
      <c r="BG273" s="104"/>
      <c r="BH273" s="104">
        <f t="shared" si="389"/>
        <v>0</v>
      </c>
      <c r="BI273" s="104"/>
      <c r="BJ273" s="104">
        <f t="shared" si="390"/>
        <v>0</v>
      </c>
      <c r="BK273" s="104"/>
      <c r="BL273" s="104"/>
      <c r="BM273" s="104"/>
      <c r="BN273" s="104" t="s">
        <v>576</v>
      </c>
      <c r="BO273" s="104" t="s">
        <v>1695</v>
      </c>
      <c r="BP273" s="104" t="s">
        <v>577</v>
      </c>
      <c r="BQ273" s="104" t="s">
        <v>578</v>
      </c>
      <c r="BR273" s="104" t="s">
        <v>579</v>
      </c>
      <c r="BS273" s="104" t="s">
        <v>575</v>
      </c>
      <c r="BT273" s="55" t="s">
        <v>11</v>
      </c>
    </row>
    <row r="274" spans="1:72" ht="73.5" customHeight="1" outlineLevel="1" x14ac:dyDescent="0.25">
      <c r="A274" s="106"/>
      <c r="B274" s="59">
        <v>2</v>
      </c>
      <c r="C274" s="104" t="s">
        <v>1306</v>
      </c>
      <c r="D274" s="104" t="s">
        <v>317</v>
      </c>
      <c r="E274" s="104" t="s">
        <v>9</v>
      </c>
      <c r="F274" s="104">
        <v>255456.9</v>
      </c>
      <c r="G274" s="104">
        <v>247007</v>
      </c>
      <c r="H274" s="104">
        <v>242720</v>
      </c>
      <c r="I274" s="104">
        <f t="shared" si="409"/>
        <v>4287</v>
      </c>
      <c r="J274" s="104">
        <v>1</v>
      </c>
      <c r="K274" s="104">
        <v>1</v>
      </c>
      <c r="L274" s="104"/>
      <c r="M274" s="104">
        <v>100000</v>
      </c>
      <c r="N274" s="104">
        <f t="shared" ref="N274:N319" si="415">AC274+AI274</f>
        <v>142720</v>
      </c>
      <c r="O274" s="104">
        <v>132306</v>
      </c>
      <c r="P274" s="104">
        <v>1</v>
      </c>
      <c r="Q274" s="26">
        <v>132306</v>
      </c>
      <c r="R274" s="104">
        <v>1</v>
      </c>
      <c r="S274" s="104">
        <f t="shared" si="338"/>
        <v>3858</v>
      </c>
      <c r="T274" s="104"/>
      <c r="U274" s="26">
        <f t="shared" si="410"/>
        <v>123448</v>
      </c>
      <c r="V274" s="113">
        <f t="shared" si="410"/>
        <v>1</v>
      </c>
      <c r="W274" s="113">
        <v>123448</v>
      </c>
      <c r="X274" s="113">
        <f t="shared" si="411"/>
        <v>1</v>
      </c>
      <c r="Y274" s="113"/>
      <c r="Z274" s="113">
        <f t="shared" si="412"/>
        <v>0</v>
      </c>
      <c r="AA274" s="118"/>
      <c r="AB274" s="122">
        <v>5000</v>
      </c>
      <c r="AC274" s="26">
        <f t="shared" si="346"/>
        <v>128448</v>
      </c>
      <c r="AD274" s="104">
        <f t="shared" si="346"/>
        <v>1</v>
      </c>
      <c r="AE274" s="104">
        <f>123448+5000</f>
        <v>128448</v>
      </c>
      <c r="AF274" s="104">
        <f t="shared" si="413"/>
        <v>1</v>
      </c>
      <c r="AG274" s="104"/>
      <c r="AH274" s="104">
        <f t="shared" si="414"/>
        <v>0</v>
      </c>
      <c r="AI274" s="104">
        <f t="shared" ref="AI274:AI319" si="416">AC274/0.9*0.1</f>
        <v>14272</v>
      </c>
      <c r="AJ274" s="104">
        <v>1</v>
      </c>
      <c r="AK274" s="104"/>
      <c r="AL274" s="104">
        <v>0</v>
      </c>
      <c r="AM274" s="104">
        <v>0</v>
      </c>
      <c r="AN274" s="104">
        <f t="shared" si="342"/>
        <v>-5000</v>
      </c>
      <c r="AO274" s="104"/>
      <c r="AP274" s="113">
        <f t="shared" ref="AP274:AP319" si="417">U274-AC274</f>
        <v>-5000</v>
      </c>
      <c r="AQ274" s="113"/>
      <c r="AR274" s="34">
        <f t="shared" si="345"/>
        <v>5000</v>
      </c>
      <c r="AS274" s="10">
        <f t="shared" si="345"/>
        <v>1</v>
      </c>
      <c r="AT274" s="10">
        <v>5000</v>
      </c>
      <c r="AU274" s="10">
        <f t="shared" si="392"/>
        <v>1</v>
      </c>
      <c r="AV274" s="10"/>
      <c r="AW274" s="10">
        <f t="shared" si="393"/>
        <v>0</v>
      </c>
      <c r="AX274" s="10">
        <f t="shared" ref="AX274:AX319" si="418">AR274/0.9*0.1</f>
        <v>555.55555555555554</v>
      </c>
      <c r="AY274" s="10"/>
      <c r="AZ274" s="10"/>
      <c r="BA274" s="10">
        <v>0</v>
      </c>
      <c r="BB274" s="10">
        <v>0</v>
      </c>
      <c r="BC274" s="10">
        <f t="shared" si="343"/>
        <v>0</v>
      </c>
      <c r="BD274" s="10"/>
      <c r="BE274" s="26">
        <f t="shared" si="388"/>
        <v>0</v>
      </c>
      <c r="BF274" s="104">
        <f t="shared" si="388"/>
        <v>0</v>
      </c>
      <c r="BG274" s="104"/>
      <c r="BH274" s="104">
        <f t="shared" si="389"/>
        <v>0</v>
      </c>
      <c r="BI274" s="104"/>
      <c r="BJ274" s="104">
        <f t="shared" si="390"/>
        <v>0</v>
      </c>
      <c r="BK274" s="104"/>
      <c r="BL274" s="104"/>
      <c r="BM274" s="104"/>
      <c r="BN274" s="104" t="s">
        <v>580</v>
      </c>
      <c r="BO274" s="104" t="s">
        <v>1696</v>
      </c>
      <c r="BP274" s="104" t="s">
        <v>581</v>
      </c>
      <c r="BQ274" s="104" t="s">
        <v>582</v>
      </c>
      <c r="BR274" s="104" t="s">
        <v>583</v>
      </c>
      <c r="BS274" s="104" t="s">
        <v>575</v>
      </c>
      <c r="BT274" s="55" t="s">
        <v>11</v>
      </c>
    </row>
    <row r="275" spans="1:72" ht="83.25" customHeight="1" outlineLevel="1" x14ac:dyDescent="0.25">
      <c r="A275" s="106"/>
      <c r="B275" s="59">
        <v>3</v>
      </c>
      <c r="C275" s="104" t="s">
        <v>1307</v>
      </c>
      <c r="D275" s="104" t="s">
        <v>318</v>
      </c>
      <c r="E275" s="104" t="s">
        <v>9</v>
      </c>
      <c r="F275" s="104">
        <v>256607</v>
      </c>
      <c r="G275" s="104">
        <v>247590</v>
      </c>
      <c r="H275" s="104">
        <v>241577</v>
      </c>
      <c r="I275" s="104">
        <f t="shared" si="409"/>
        <v>6013</v>
      </c>
      <c r="J275" s="104">
        <v>1</v>
      </c>
      <c r="K275" s="104">
        <v>1</v>
      </c>
      <c r="L275" s="104"/>
      <c r="M275" s="104">
        <v>120000</v>
      </c>
      <c r="N275" s="104">
        <f t="shared" si="415"/>
        <v>121576.66666666667</v>
      </c>
      <c r="O275" s="104">
        <v>114831</v>
      </c>
      <c r="P275" s="104">
        <v>1</v>
      </c>
      <c r="Q275" s="26">
        <v>114831</v>
      </c>
      <c r="R275" s="104">
        <v>1</v>
      </c>
      <c r="S275" s="104">
        <f t="shared" si="338"/>
        <v>5412</v>
      </c>
      <c r="T275" s="104"/>
      <c r="U275" s="26">
        <f t="shared" si="410"/>
        <v>104419</v>
      </c>
      <c r="V275" s="113">
        <f t="shared" si="410"/>
        <v>1</v>
      </c>
      <c r="W275" s="113">
        <v>104419</v>
      </c>
      <c r="X275" s="113">
        <f t="shared" si="411"/>
        <v>1</v>
      </c>
      <c r="Y275" s="113"/>
      <c r="Z275" s="113">
        <f t="shared" si="412"/>
        <v>0</v>
      </c>
      <c r="AA275" s="118"/>
      <c r="AB275" s="122">
        <v>5000</v>
      </c>
      <c r="AC275" s="26">
        <f t="shared" si="346"/>
        <v>109419</v>
      </c>
      <c r="AD275" s="104">
        <f t="shared" si="346"/>
        <v>1</v>
      </c>
      <c r="AE275" s="104">
        <f>104419+5000</f>
        <v>109419</v>
      </c>
      <c r="AF275" s="104">
        <f t="shared" si="413"/>
        <v>1</v>
      </c>
      <c r="AG275" s="104"/>
      <c r="AH275" s="104">
        <f t="shared" si="414"/>
        <v>0</v>
      </c>
      <c r="AI275" s="104">
        <f t="shared" si="416"/>
        <v>12157.666666666666</v>
      </c>
      <c r="AJ275" s="104">
        <v>1</v>
      </c>
      <c r="AK275" s="104"/>
      <c r="AL275" s="104">
        <v>0</v>
      </c>
      <c r="AM275" s="104">
        <v>0</v>
      </c>
      <c r="AN275" s="104">
        <f t="shared" si="342"/>
        <v>-5000</v>
      </c>
      <c r="AO275" s="104"/>
      <c r="AP275" s="113">
        <f t="shared" si="417"/>
        <v>-5000</v>
      </c>
      <c r="AQ275" s="113"/>
      <c r="AR275" s="34">
        <f t="shared" si="345"/>
        <v>5000</v>
      </c>
      <c r="AS275" s="10">
        <f t="shared" si="345"/>
        <v>1</v>
      </c>
      <c r="AT275" s="10">
        <v>5000</v>
      </c>
      <c r="AU275" s="10">
        <f t="shared" si="392"/>
        <v>1</v>
      </c>
      <c r="AV275" s="10"/>
      <c r="AW275" s="10">
        <f t="shared" si="393"/>
        <v>0</v>
      </c>
      <c r="AX275" s="10">
        <f t="shared" si="418"/>
        <v>555.55555555555554</v>
      </c>
      <c r="AY275" s="10"/>
      <c r="AZ275" s="10"/>
      <c r="BA275" s="10">
        <v>0</v>
      </c>
      <c r="BB275" s="10">
        <v>0</v>
      </c>
      <c r="BC275" s="10">
        <f t="shared" si="343"/>
        <v>0</v>
      </c>
      <c r="BD275" s="10"/>
      <c r="BE275" s="26">
        <f t="shared" si="388"/>
        <v>0</v>
      </c>
      <c r="BF275" s="104">
        <f t="shared" si="388"/>
        <v>0</v>
      </c>
      <c r="BG275" s="104"/>
      <c r="BH275" s="104">
        <f t="shared" si="389"/>
        <v>0</v>
      </c>
      <c r="BI275" s="104"/>
      <c r="BJ275" s="104">
        <f t="shared" si="390"/>
        <v>0</v>
      </c>
      <c r="BK275" s="104"/>
      <c r="BL275" s="104"/>
      <c r="BM275" s="104"/>
      <c r="BN275" s="104" t="s">
        <v>584</v>
      </c>
      <c r="BO275" s="104" t="s">
        <v>1697</v>
      </c>
      <c r="BP275" s="104" t="s">
        <v>1302</v>
      </c>
      <c r="BQ275" s="104" t="s">
        <v>582</v>
      </c>
      <c r="BR275" s="104" t="s">
        <v>583</v>
      </c>
      <c r="BS275" s="104" t="s">
        <v>575</v>
      </c>
      <c r="BT275" s="55" t="s">
        <v>11</v>
      </c>
    </row>
    <row r="276" spans="1:72" s="3" customFormat="1" ht="83.25" customHeight="1" outlineLevel="1" x14ac:dyDescent="0.25">
      <c r="A276" s="106"/>
      <c r="B276" s="59">
        <v>4</v>
      </c>
      <c r="C276" s="104" t="s">
        <v>1308</v>
      </c>
      <c r="D276" s="104" t="s">
        <v>319</v>
      </c>
      <c r="E276" s="104" t="s">
        <v>9</v>
      </c>
      <c r="F276" s="104">
        <v>199319.984</v>
      </c>
      <c r="G276" s="104">
        <v>190692</v>
      </c>
      <c r="H276" s="104">
        <v>184785</v>
      </c>
      <c r="I276" s="104">
        <f t="shared" si="409"/>
        <v>5907</v>
      </c>
      <c r="J276" s="104">
        <v>1</v>
      </c>
      <c r="K276" s="104">
        <v>1</v>
      </c>
      <c r="L276" s="104"/>
      <c r="M276" s="104">
        <v>99320</v>
      </c>
      <c r="N276" s="104">
        <f t="shared" si="415"/>
        <v>85464.444444444438</v>
      </c>
      <c r="O276" s="104">
        <v>82235</v>
      </c>
      <c r="P276" s="104">
        <v>1</v>
      </c>
      <c r="Q276" s="26">
        <v>82235</v>
      </c>
      <c r="R276" s="104">
        <v>1</v>
      </c>
      <c r="S276" s="104">
        <f t="shared" si="338"/>
        <v>5317</v>
      </c>
      <c r="T276" s="104"/>
      <c r="U276" s="26">
        <f t="shared" si="410"/>
        <v>76918</v>
      </c>
      <c r="V276" s="113">
        <f t="shared" si="410"/>
        <v>1</v>
      </c>
      <c r="W276" s="113">
        <v>76918</v>
      </c>
      <c r="X276" s="113">
        <f t="shared" si="411"/>
        <v>1</v>
      </c>
      <c r="Y276" s="113"/>
      <c r="Z276" s="113">
        <f t="shared" si="412"/>
        <v>0</v>
      </c>
      <c r="AA276" s="118">
        <v>0</v>
      </c>
      <c r="AB276" s="122"/>
      <c r="AC276" s="26">
        <f t="shared" si="346"/>
        <v>76918</v>
      </c>
      <c r="AD276" s="104">
        <f t="shared" si="346"/>
        <v>1</v>
      </c>
      <c r="AE276" s="104">
        <v>76918</v>
      </c>
      <c r="AF276" s="104">
        <f t="shared" si="413"/>
        <v>1</v>
      </c>
      <c r="AG276" s="104"/>
      <c r="AH276" s="104">
        <f t="shared" si="414"/>
        <v>0</v>
      </c>
      <c r="AI276" s="104">
        <f t="shared" si="416"/>
        <v>8546.4444444444434</v>
      </c>
      <c r="AJ276" s="104">
        <v>1</v>
      </c>
      <c r="AK276" s="104"/>
      <c r="AL276" s="104">
        <v>0</v>
      </c>
      <c r="AM276" s="104">
        <v>0</v>
      </c>
      <c r="AN276" s="104">
        <f t="shared" si="342"/>
        <v>0</v>
      </c>
      <c r="AO276" s="104"/>
      <c r="AP276" s="113">
        <f t="shared" si="417"/>
        <v>0</v>
      </c>
      <c r="AQ276" s="113"/>
      <c r="AR276" s="34">
        <f t="shared" si="345"/>
        <v>0</v>
      </c>
      <c r="AS276" s="10">
        <f t="shared" si="345"/>
        <v>0</v>
      </c>
      <c r="AT276" s="10">
        <v>0</v>
      </c>
      <c r="AU276" s="10">
        <f t="shared" si="392"/>
        <v>0</v>
      </c>
      <c r="AV276" s="10"/>
      <c r="AW276" s="10">
        <f t="shared" si="393"/>
        <v>0</v>
      </c>
      <c r="AX276" s="10">
        <f t="shared" si="418"/>
        <v>0</v>
      </c>
      <c r="AY276" s="10"/>
      <c r="AZ276" s="10"/>
      <c r="BA276" s="10">
        <v>0</v>
      </c>
      <c r="BB276" s="10">
        <v>0</v>
      </c>
      <c r="BC276" s="10">
        <f t="shared" si="343"/>
        <v>0</v>
      </c>
      <c r="BD276" s="10"/>
      <c r="BE276" s="26">
        <f t="shared" si="388"/>
        <v>0</v>
      </c>
      <c r="BF276" s="104">
        <f t="shared" si="388"/>
        <v>0</v>
      </c>
      <c r="BG276" s="104"/>
      <c r="BH276" s="104">
        <f t="shared" si="389"/>
        <v>0</v>
      </c>
      <c r="BI276" s="104"/>
      <c r="BJ276" s="104">
        <f t="shared" si="390"/>
        <v>0</v>
      </c>
      <c r="BK276" s="104"/>
      <c r="BL276" s="104"/>
      <c r="BM276" s="104"/>
      <c r="BN276" s="104" t="s">
        <v>585</v>
      </c>
      <c r="BO276" s="104" t="s">
        <v>1697</v>
      </c>
      <c r="BP276" s="104" t="s">
        <v>587</v>
      </c>
      <c r="BQ276" s="104" t="s">
        <v>582</v>
      </c>
      <c r="BR276" s="104" t="s">
        <v>583</v>
      </c>
      <c r="BS276" s="104" t="s">
        <v>586</v>
      </c>
      <c r="BT276" s="55" t="s">
        <v>11</v>
      </c>
    </row>
    <row r="277" spans="1:72" s="3" customFormat="1" ht="70.5" customHeight="1" outlineLevel="1" x14ac:dyDescent="0.25">
      <c r="A277" s="106"/>
      <c r="B277" s="59">
        <v>5</v>
      </c>
      <c r="C277" s="104" t="s">
        <v>1309</v>
      </c>
      <c r="D277" s="104" t="s">
        <v>589</v>
      </c>
      <c r="E277" s="104" t="s">
        <v>9</v>
      </c>
      <c r="F277" s="104">
        <v>158366</v>
      </c>
      <c r="G277" s="104">
        <v>150011</v>
      </c>
      <c r="H277" s="104">
        <v>147573</v>
      </c>
      <c r="I277" s="104">
        <f t="shared" si="409"/>
        <v>2438</v>
      </c>
      <c r="J277" s="104">
        <v>1</v>
      </c>
      <c r="K277" s="104">
        <v>1</v>
      </c>
      <c r="L277" s="104"/>
      <c r="M277" s="104">
        <v>70000</v>
      </c>
      <c r="N277" s="104">
        <f t="shared" si="415"/>
        <v>77573.333333333328</v>
      </c>
      <c r="O277" s="104">
        <v>72010</v>
      </c>
      <c r="P277" s="104">
        <v>1</v>
      </c>
      <c r="Q277" s="26">
        <v>72010</v>
      </c>
      <c r="R277" s="104">
        <v>1</v>
      </c>
      <c r="S277" s="104">
        <f t="shared" si="338"/>
        <v>2194</v>
      </c>
      <c r="T277" s="104"/>
      <c r="U277" s="26">
        <f t="shared" si="410"/>
        <v>69816</v>
      </c>
      <c r="V277" s="113">
        <f t="shared" si="410"/>
        <v>1</v>
      </c>
      <c r="W277" s="113">
        <v>69816</v>
      </c>
      <c r="X277" s="113">
        <f t="shared" si="411"/>
        <v>1</v>
      </c>
      <c r="Y277" s="113"/>
      <c r="Z277" s="113">
        <f t="shared" si="412"/>
        <v>0</v>
      </c>
      <c r="AA277" s="118">
        <v>0</v>
      </c>
      <c r="AB277" s="122"/>
      <c r="AC277" s="26">
        <f t="shared" si="346"/>
        <v>69816</v>
      </c>
      <c r="AD277" s="104">
        <f t="shared" si="346"/>
        <v>1</v>
      </c>
      <c r="AE277" s="104">
        <v>69816</v>
      </c>
      <c r="AF277" s="104">
        <f t="shared" si="413"/>
        <v>1</v>
      </c>
      <c r="AG277" s="104"/>
      <c r="AH277" s="104">
        <f t="shared" si="414"/>
        <v>0</v>
      </c>
      <c r="AI277" s="104">
        <f t="shared" si="416"/>
        <v>7757.333333333333</v>
      </c>
      <c r="AJ277" s="104">
        <v>1</v>
      </c>
      <c r="AK277" s="104"/>
      <c r="AL277" s="104">
        <v>0</v>
      </c>
      <c r="AM277" s="104">
        <v>0</v>
      </c>
      <c r="AN277" s="104">
        <f t="shared" si="342"/>
        <v>0</v>
      </c>
      <c r="AO277" s="104"/>
      <c r="AP277" s="113">
        <f t="shared" si="417"/>
        <v>0</v>
      </c>
      <c r="AQ277" s="113"/>
      <c r="AR277" s="34">
        <f t="shared" si="345"/>
        <v>0</v>
      </c>
      <c r="AS277" s="10">
        <f t="shared" si="345"/>
        <v>0</v>
      </c>
      <c r="AT277" s="10">
        <v>0</v>
      </c>
      <c r="AU277" s="10">
        <f t="shared" si="392"/>
        <v>0</v>
      </c>
      <c r="AV277" s="10"/>
      <c r="AW277" s="10">
        <f t="shared" si="393"/>
        <v>0</v>
      </c>
      <c r="AX277" s="10">
        <f t="shared" si="418"/>
        <v>0</v>
      </c>
      <c r="AY277" s="10"/>
      <c r="AZ277" s="10"/>
      <c r="BA277" s="10">
        <v>0</v>
      </c>
      <c r="BB277" s="10">
        <v>0</v>
      </c>
      <c r="BC277" s="10">
        <f t="shared" si="343"/>
        <v>0</v>
      </c>
      <c r="BD277" s="10"/>
      <c r="BE277" s="26">
        <f t="shared" si="388"/>
        <v>0</v>
      </c>
      <c r="BF277" s="104">
        <f t="shared" si="388"/>
        <v>0</v>
      </c>
      <c r="BG277" s="104"/>
      <c r="BH277" s="104">
        <f t="shared" si="389"/>
        <v>0</v>
      </c>
      <c r="BI277" s="104"/>
      <c r="BJ277" s="104">
        <f t="shared" si="390"/>
        <v>0</v>
      </c>
      <c r="BK277" s="104"/>
      <c r="BL277" s="104"/>
      <c r="BM277" s="104"/>
      <c r="BN277" s="104" t="s">
        <v>588</v>
      </c>
      <c r="BO277" s="104" t="s">
        <v>1697</v>
      </c>
      <c r="BP277" s="104" t="s">
        <v>590</v>
      </c>
      <c r="BQ277" s="104" t="s">
        <v>582</v>
      </c>
      <c r="BR277" s="104" t="s">
        <v>583</v>
      </c>
      <c r="BS277" s="104" t="s">
        <v>575</v>
      </c>
      <c r="BT277" s="55" t="s">
        <v>11</v>
      </c>
    </row>
    <row r="278" spans="1:72" s="3" customFormat="1" ht="66.75" customHeight="1" outlineLevel="1" x14ac:dyDescent="0.25">
      <c r="A278" s="106"/>
      <c r="B278" s="59">
        <v>6</v>
      </c>
      <c r="C278" s="104" t="s">
        <v>1310</v>
      </c>
      <c r="D278" s="104" t="s">
        <v>320</v>
      </c>
      <c r="E278" s="104" t="s">
        <v>9</v>
      </c>
      <c r="F278" s="104">
        <v>275472</v>
      </c>
      <c r="G278" s="104">
        <v>266709</v>
      </c>
      <c r="H278" s="26" t="s">
        <v>1733</v>
      </c>
      <c r="I278" s="104" t="e">
        <f t="shared" si="409"/>
        <v>#VALUE!</v>
      </c>
      <c r="J278" s="104">
        <v>1</v>
      </c>
      <c r="K278" s="104">
        <v>1</v>
      </c>
      <c r="L278" s="104"/>
      <c r="M278" s="104">
        <v>135472</v>
      </c>
      <c r="N278" s="104">
        <f t="shared" si="415"/>
        <v>131236.66666666666</v>
      </c>
      <c r="O278" s="104">
        <v>118113</v>
      </c>
      <c r="P278" s="104">
        <v>1</v>
      </c>
      <c r="Q278" s="26">
        <v>118113</v>
      </c>
      <c r="R278" s="104">
        <v>1</v>
      </c>
      <c r="S278" s="104">
        <f t="shared" si="338"/>
        <v>0</v>
      </c>
      <c r="T278" s="104"/>
      <c r="U278" s="26">
        <f t="shared" si="410"/>
        <v>108113</v>
      </c>
      <c r="V278" s="113">
        <f t="shared" si="410"/>
        <v>1</v>
      </c>
      <c r="W278" s="113">
        <v>108113</v>
      </c>
      <c r="X278" s="113">
        <f t="shared" si="411"/>
        <v>1</v>
      </c>
      <c r="Y278" s="113"/>
      <c r="Z278" s="113">
        <f t="shared" si="412"/>
        <v>0</v>
      </c>
      <c r="AA278" s="118"/>
      <c r="AB278" s="122">
        <v>10000</v>
      </c>
      <c r="AC278" s="26">
        <f t="shared" si="346"/>
        <v>118113</v>
      </c>
      <c r="AD278" s="104">
        <f t="shared" si="346"/>
        <v>1</v>
      </c>
      <c r="AE278" s="104">
        <f>108113+10000</f>
        <v>118113</v>
      </c>
      <c r="AF278" s="104">
        <f t="shared" si="413"/>
        <v>1</v>
      </c>
      <c r="AG278" s="104"/>
      <c r="AH278" s="104">
        <f t="shared" si="414"/>
        <v>0</v>
      </c>
      <c r="AI278" s="104">
        <f t="shared" si="416"/>
        <v>13123.666666666666</v>
      </c>
      <c r="AJ278" s="104">
        <v>1</v>
      </c>
      <c r="AK278" s="104"/>
      <c r="AL278" s="104">
        <v>0</v>
      </c>
      <c r="AM278" s="104">
        <v>0</v>
      </c>
      <c r="AN278" s="104">
        <f t="shared" si="342"/>
        <v>-12000</v>
      </c>
      <c r="AO278" s="104"/>
      <c r="AP278" s="113">
        <f t="shared" si="417"/>
        <v>-10000</v>
      </c>
      <c r="AQ278" s="113"/>
      <c r="AR278" s="34">
        <f t="shared" si="345"/>
        <v>12000</v>
      </c>
      <c r="AS278" s="10">
        <f t="shared" si="345"/>
        <v>1</v>
      </c>
      <c r="AT278" s="10">
        <f>10000+2000</f>
        <v>12000</v>
      </c>
      <c r="AU278" s="10">
        <f t="shared" si="392"/>
        <v>1</v>
      </c>
      <c r="AV278" s="10"/>
      <c r="AW278" s="10">
        <f t="shared" si="393"/>
        <v>0</v>
      </c>
      <c r="AX278" s="10">
        <f t="shared" si="418"/>
        <v>1333.3333333333333</v>
      </c>
      <c r="AY278" s="10"/>
      <c r="AZ278" s="10"/>
      <c r="BA278" s="10">
        <v>0</v>
      </c>
      <c r="BB278" s="10">
        <v>0</v>
      </c>
      <c r="BC278" s="10">
        <f t="shared" si="343"/>
        <v>0</v>
      </c>
      <c r="BD278" s="10"/>
      <c r="BE278" s="26">
        <f t="shared" si="388"/>
        <v>0</v>
      </c>
      <c r="BF278" s="104">
        <f t="shared" si="388"/>
        <v>0</v>
      </c>
      <c r="BG278" s="104"/>
      <c r="BH278" s="104">
        <f t="shared" si="389"/>
        <v>0</v>
      </c>
      <c r="BI278" s="104"/>
      <c r="BJ278" s="104">
        <f t="shared" si="390"/>
        <v>0</v>
      </c>
      <c r="BK278" s="104"/>
      <c r="BL278" s="104"/>
      <c r="BM278" s="104"/>
      <c r="BN278" s="104" t="s">
        <v>615</v>
      </c>
      <c r="BO278" s="104" t="s">
        <v>1697</v>
      </c>
      <c r="BP278" s="104" t="s">
        <v>616</v>
      </c>
      <c r="BQ278" s="104" t="s">
        <v>613</v>
      </c>
      <c r="BR278" s="104" t="s">
        <v>614</v>
      </c>
      <c r="BS278" s="104" t="s">
        <v>586</v>
      </c>
      <c r="BT278" s="55" t="s">
        <v>11</v>
      </c>
    </row>
    <row r="279" spans="1:72" s="3" customFormat="1" ht="81.75" customHeight="1" outlineLevel="1" x14ac:dyDescent="0.25">
      <c r="A279" s="106"/>
      <c r="B279" s="59">
        <v>7</v>
      </c>
      <c r="C279" s="104" t="s">
        <v>1311</v>
      </c>
      <c r="D279" s="104" t="s">
        <v>617</v>
      </c>
      <c r="E279" s="104" t="s">
        <v>9</v>
      </c>
      <c r="F279" s="104">
        <v>172984</v>
      </c>
      <c r="G279" s="104">
        <v>165939</v>
      </c>
      <c r="H279" s="104">
        <v>163183</v>
      </c>
      <c r="I279" s="104">
        <f t="shared" si="409"/>
        <v>2756</v>
      </c>
      <c r="J279" s="104">
        <v>1</v>
      </c>
      <c r="K279" s="104">
        <v>1</v>
      </c>
      <c r="L279" s="104"/>
      <c r="M279" s="104">
        <v>92984</v>
      </c>
      <c r="N279" s="104">
        <f t="shared" si="415"/>
        <v>70198.888888888891</v>
      </c>
      <c r="O279" s="104">
        <v>65659</v>
      </c>
      <c r="P279" s="104">
        <v>1</v>
      </c>
      <c r="Q279" s="26">
        <v>65659</v>
      </c>
      <c r="R279" s="104">
        <v>1</v>
      </c>
      <c r="S279" s="104">
        <f t="shared" si="338"/>
        <v>2480</v>
      </c>
      <c r="T279" s="104"/>
      <c r="U279" s="26">
        <f t="shared" si="410"/>
        <v>63179</v>
      </c>
      <c r="V279" s="113">
        <f t="shared" si="410"/>
        <v>1</v>
      </c>
      <c r="W279" s="113">
        <v>63179</v>
      </c>
      <c r="X279" s="113">
        <f t="shared" si="411"/>
        <v>1</v>
      </c>
      <c r="Y279" s="113"/>
      <c r="Z279" s="113">
        <f t="shared" si="412"/>
        <v>0</v>
      </c>
      <c r="AA279" s="118">
        <v>0</v>
      </c>
      <c r="AB279" s="122"/>
      <c r="AC279" s="26">
        <f t="shared" si="346"/>
        <v>63179</v>
      </c>
      <c r="AD279" s="104">
        <f t="shared" si="346"/>
        <v>1</v>
      </c>
      <c r="AE279" s="104">
        <v>63179</v>
      </c>
      <c r="AF279" s="104">
        <f t="shared" si="413"/>
        <v>1</v>
      </c>
      <c r="AG279" s="104"/>
      <c r="AH279" s="104">
        <f t="shared" si="414"/>
        <v>0</v>
      </c>
      <c r="AI279" s="104">
        <f t="shared" si="416"/>
        <v>7019.8888888888896</v>
      </c>
      <c r="AJ279" s="104">
        <v>1</v>
      </c>
      <c r="AK279" s="104"/>
      <c r="AL279" s="104">
        <v>0</v>
      </c>
      <c r="AM279" s="104">
        <v>0</v>
      </c>
      <c r="AN279" s="104">
        <f t="shared" si="342"/>
        <v>0</v>
      </c>
      <c r="AO279" s="104"/>
      <c r="AP279" s="113">
        <f t="shared" si="417"/>
        <v>0</v>
      </c>
      <c r="AQ279" s="113"/>
      <c r="AR279" s="34">
        <f t="shared" ref="AR279:AS324" si="419">AT279+AV279</f>
        <v>0</v>
      </c>
      <c r="AS279" s="10">
        <f t="shared" si="419"/>
        <v>0</v>
      </c>
      <c r="AT279" s="10">
        <v>0</v>
      </c>
      <c r="AU279" s="10">
        <f t="shared" si="392"/>
        <v>0</v>
      </c>
      <c r="AV279" s="10"/>
      <c r="AW279" s="10">
        <f t="shared" si="393"/>
        <v>0</v>
      </c>
      <c r="AX279" s="10">
        <f t="shared" si="418"/>
        <v>0</v>
      </c>
      <c r="AY279" s="10"/>
      <c r="AZ279" s="10"/>
      <c r="BA279" s="10">
        <v>0</v>
      </c>
      <c r="BB279" s="10">
        <v>0</v>
      </c>
      <c r="BC279" s="10">
        <f t="shared" si="343"/>
        <v>0</v>
      </c>
      <c r="BD279" s="10"/>
      <c r="BE279" s="26">
        <f t="shared" si="388"/>
        <v>0</v>
      </c>
      <c r="BF279" s="104">
        <f t="shared" si="388"/>
        <v>0</v>
      </c>
      <c r="BG279" s="104"/>
      <c r="BH279" s="104">
        <f t="shared" si="389"/>
        <v>0</v>
      </c>
      <c r="BI279" s="104"/>
      <c r="BJ279" s="104">
        <f t="shared" si="390"/>
        <v>0</v>
      </c>
      <c r="BK279" s="104"/>
      <c r="BL279" s="104"/>
      <c r="BM279" s="104"/>
      <c r="BN279" s="104" t="s">
        <v>618</v>
      </c>
      <c r="BO279" s="104" t="s">
        <v>1697</v>
      </c>
      <c r="BP279" s="104" t="s">
        <v>619</v>
      </c>
      <c r="BQ279" s="104" t="s">
        <v>620</v>
      </c>
      <c r="BR279" s="104" t="s">
        <v>614</v>
      </c>
      <c r="BS279" s="104" t="s">
        <v>586</v>
      </c>
      <c r="BT279" s="55" t="s">
        <v>11</v>
      </c>
    </row>
    <row r="280" spans="1:72" s="3" customFormat="1" ht="93" customHeight="1" outlineLevel="1" x14ac:dyDescent="0.25">
      <c r="A280" s="106"/>
      <c r="B280" s="59">
        <v>8</v>
      </c>
      <c r="C280" s="104" t="s">
        <v>1497</v>
      </c>
      <c r="D280" s="104" t="s">
        <v>622</v>
      </c>
      <c r="E280" s="104" t="s">
        <v>9</v>
      </c>
      <c r="F280" s="104">
        <v>253560</v>
      </c>
      <c r="G280" s="104">
        <v>244174</v>
      </c>
      <c r="H280" s="104">
        <v>231719</v>
      </c>
      <c r="I280" s="104">
        <f t="shared" si="409"/>
        <v>12455</v>
      </c>
      <c r="J280" s="104">
        <v>1</v>
      </c>
      <c r="K280" s="104">
        <v>1</v>
      </c>
      <c r="L280" s="104"/>
      <c r="M280" s="104">
        <v>33333</v>
      </c>
      <c r="N280" s="104">
        <f t="shared" si="415"/>
        <v>198385.55555555556</v>
      </c>
      <c r="O280" s="104">
        <v>129757</v>
      </c>
      <c r="P280" s="104">
        <v>1</v>
      </c>
      <c r="Q280" s="26">
        <v>129757</v>
      </c>
      <c r="R280" s="104">
        <v>1</v>
      </c>
      <c r="S280" s="104">
        <f t="shared" si="338"/>
        <v>-48790</v>
      </c>
      <c r="T280" s="104"/>
      <c r="U280" s="26">
        <f t="shared" si="410"/>
        <v>178547</v>
      </c>
      <c r="V280" s="113">
        <f t="shared" si="410"/>
        <v>1</v>
      </c>
      <c r="W280" s="113">
        <v>178547</v>
      </c>
      <c r="X280" s="113">
        <f t="shared" si="411"/>
        <v>1</v>
      </c>
      <c r="Y280" s="113"/>
      <c r="Z280" s="113">
        <f t="shared" si="412"/>
        <v>0</v>
      </c>
      <c r="AA280" s="118">
        <v>0</v>
      </c>
      <c r="AB280" s="122"/>
      <c r="AC280" s="26">
        <f t="shared" ref="AC280:AD324" si="420">AE280+AG280</f>
        <v>178547</v>
      </c>
      <c r="AD280" s="104">
        <f t="shared" si="420"/>
        <v>1</v>
      </c>
      <c r="AE280" s="104">
        <v>178547</v>
      </c>
      <c r="AF280" s="104">
        <f t="shared" si="413"/>
        <v>1</v>
      </c>
      <c r="AG280" s="104"/>
      <c r="AH280" s="104">
        <f t="shared" si="414"/>
        <v>0</v>
      </c>
      <c r="AI280" s="104">
        <f t="shared" si="416"/>
        <v>19838.555555555558</v>
      </c>
      <c r="AJ280" s="104">
        <v>1</v>
      </c>
      <c r="AK280" s="104"/>
      <c r="AL280" s="104">
        <v>0</v>
      </c>
      <c r="AM280" s="104">
        <v>0</v>
      </c>
      <c r="AN280" s="104">
        <f t="shared" si="342"/>
        <v>0</v>
      </c>
      <c r="AO280" s="104"/>
      <c r="AP280" s="113">
        <f t="shared" si="417"/>
        <v>0</v>
      </c>
      <c r="AQ280" s="113"/>
      <c r="AR280" s="34">
        <f t="shared" si="419"/>
        <v>0</v>
      </c>
      <c r="AS280" s="10">
        <f t="shared" si="419"/>
        <v>0</v>
      </c>
      <c r="AT280" s="10">
        <v>0</v>
      </c>
      <c r="AU280" s="10">
        <f t="shared" si="392"/>
        <v>0</v>
      </c>
      <c r="AV280" s="10"/>
      <c r="AW280" s="10">
        <f t="shared" si="393"/>
        <v>0</v>
      </c>
      <c r="AX280" s="10">
        <f t="shared" si="418"/>
        <v>0</v>
      </c>
      <c r="AY280" s="10"/>
      <c r="AZ280" s="10"/>
      <c r="BA280" s="10">
        <v>0</v>
      </c>
      <c r="BB280" s="10">
        <v>0</v>
      </c>
      <c r="BC280" s="10">
        <f t="shared" si="343"/>
        <v>0</v>
      </c>
      <c r="BD280" s="10"/>
      <c r="BE280" s="26">
        <f t="shared" si="388"/>
        <v>0</v>
      </c>
      <c r="BF280" s="104">
        <f t="shared" si="388"/>
        <v>0</v>
      </c>
      <c r="BG280" s="104"/>
      <c r="BH280" s="104">
        <f t="shared" si="389"/>
        <v>0</v>
      </c>
      <c r="BI280" s="104"/>
      <c r="BJ280" s="104">
        <f t="shared" si="390"/>
        <v>0</v>
      </c>
      <c r="BK280" s="104"/>
      <c r="BL280" s="104"/>
      <c r="BM280" s="104"/>
      <c r="BN280" s="104" t="s">
        <v>621</v>
      </c>
      <c r="BO280" s="104" t="s">
        <v>1697</v>
      </c>
      <c r="BP280" s="104" t="s">
        <v>623</v>
      </c>
      <c r="BQ280" s="104" t="s">
        <v>620</v>
      </c>
      <c r="BR280" s="104" t="s">
        <v>614</v>
      </c>
      <c r="BS280" s="104" t="s">
        <v>586</v>
      </c>
      <c r="BT280" s="55" t="s">
        <v>11</v>
      </c>
    </row>
    <row r="281" spans="1:72" s="3" customFormat="1" ht="83.25" customHeight="1" outlineLevel="1" x14ac:dyDescent="0.25">
      <c r="A281" s="106"/>
      <c r="B281" s="59">
        <v>9</v>
      </c>
      <c r="C281" s="104" t="s">
        <v>1312</v>
      </c>
      <c r="D281" s="104" t="s">
        <v>631</v>
      </c>
      <c r="E281" s="104" t="s">
        <v>9</v>
      </c>
      <c r="F281" s="104">
        <v>175222.9</v>
      </c>
      <c r="G281" s="104">
        <v>241220</v>
      </c>
      <c r="H281" s="104">
        <v>163159</v>
      </c>
      <c r="I281" s="104">
        <f t="shared" si="409"/>
        <v>78061</v>
      </c>
      <c r="J281" s="104">
        <v>1</v>
      </c>
      <c r="K281" s="104">
        <v>1</v>
      </c>
      <c r="L281" s="104"/>
      <c r="M281" s="104">
        <v>85662</v>
      </c>
      <c r="N281" s="104">
        <f t="shared" si="415"/>
        <v>77496.666666666672</v>
      </c>
      <c r="O281" s="104">
        <v>145098</v>
      </c>
      <c r="P281" s="104">
        <v>1</v>
      </c>
      <c r="Q281" s="26">
        <v>145098</v>
      </c>
      <c r="R281" s="104">
        <v>1</v>
      </c>
      <c r="S281" s="104">
        <f t="shared" si="338"/>
        <v>75351</v>
      </c>
      <c r="T281" s="104"/>
      <c r="U281" s="26">
        <f t="shared" si="410"/>
        <v>69747</v>
      </c>
      <c r="V281" s="113">
        <f t="shared" si="410"/>
        <v>1</v>
      </c>
      <c r="W281" s="113">
        <v>69747</v>
      </c>
      <c r="X281" s="113">
        <f t="shared" si="411"/>
        <v>1</v>
      </c>
      <c r="Y281" s="113"/>
      <c r="Z281" s="113">
        <f t="shared" si="412"/>
        <v>0</v>
      </c>
      <c r="AA281" s="118">
        <v>0</v>
      </c>
      <c r="AB281" s="122"/>
      <c r="AC281" s="26">
        <f t="shared" si="420"/>
        <v>69747</v>
      </c>
      <c r="AD281" s="104">
        <f t="shared" si="420"/>
        <v>1</v>
      </c>
      <c r="AE281" s="104">
        <v>69747</v>
      </c>
      <c r="AF281" s="104">
        <f t="shared" si="413"/>
        <v>1</v>
      </c>
      <c r="AG281" s="104"/>
      <c r="AH281" s="104">
        <f t="shared" si="414"/>
        <v>0</v>
      </c>
      <c r="AI281" s="104">
        <f t="shared" si="416"/>
        <v>7749.6666666666679</v>
      </c>
      <c r="AJ281" s="104">
        <v>1</v>
      </c>
      <c r="AK281" s="104"/>
      <c r="AL281" s="104">
        <v>0</v>
      </c>
      <c r="AM281" s="104">
        <v>0</v>
      </c>
      <c r="AN281" s="104">
        <f t="shared" si="342"/>
        <v>0</v>
      </c>
      <c r="AO281" s="104"/>
      <c r="AP281" s="113">
        <f t="shared" si="417"/>
        <v>0</v>
      </c>
      <c r="AQ281" s="113"/>
      <c r="AR281" s="34">
        <f t="shared" si="419"/>
        <v>0</v>
      </c>
      <c r="AS281" s="10">
        <f t="shared" si="419"/>
        <v>0</v>
      </c>
      <c r="AT281" s="10">
        <v>0</v>
      </c>
      <c r="AU281" s="10">
        <f t="shared" si="392"/>
        <v>0</v>
      </c>
      <c r="AV281" s="10"/>
      <c r="AW281" s="10">
        <f t="shared" si="393"/>
        <v>0</v>
      </c>
      <c r="AX281" s="10">
        <f t="shared" si="418"/>
        <v>0</v>
      </c>
      <c r="AY281" s="10"/>
      <c r="AZ281" s="10"/>
      <c r="BA281" s="10">
        <v>0</v>
      </c>
      <c r="BB281" s="10">
        <v>0</v>
      </c>
      <c r="BC281" s="10">
        <f t="shared" si="343"/>
        <v>0</v>
      </c>
      <c r="BD281" s="10"/>
      <c r="BE281" s="26">
        <f t="shared" si="388"/>
        <v>0</v>
      </c>
      <c r="BF281" s="104">
        <f t="shared" si="388"/>
        <v>0</v>
      </c>
      <c r="BG281" s="104"/>
      <c r="BH281" s="104">
        <f t="shared" si="389"/>
        <v>0</v>
      </c>
      <c r="BI281" s="104"/>
      <c r="BJ281" s="104">
        <f t="shared" si="390"/>
        <v>0</v>
      </c>
      <c r="BK281" s="104"/>
      <c r="BL281" s="104"/>
      <c r="BM281" s="104"/>
      <c r="BN281" s="104" t="s">
        <v>1303</v>
      </c>
      <c r="BO281" s="104" t="s">
        <v>1697</v>
      </c>
      <c r="BP281" s="104" t="s">
        <v>632</v>
      </c>
      <c r="BQ281" s="104" t="s">
        <v>582</v>
      </c>
      <c r="BR281" s="104" t="s">
        <v>583</v>
      </c>
      <c r="BS281" s="104" t="s">
        <v>586</v>
      </c>
      <c r="BT281" s="55" t="s">
        <v>11</v>
      </c>
    </row>
    <row r="282" spans="1:72" s="3" customFormat="1" ht="74.25" customHeight="1" outlineLevel="1" x14ac:dyDescent="0.25">
      <c r="A282" s="106"/>
      <c r="B282" s="59">
        <v>10</v>
      </c>
      <c r="C282" s="104" t="s">
        <v>1313</v>
      </c>
      <c r="D282" s="104" t="s">
        <v>591</v>
      </c>
      <c r="E282" s="104" t="s">
        <v>9</v>
      </c>
      <c r="F282" s="104">
        <v>185526.492</v>
      </c>
      <c r="G282" s="104">
        <v>176401</v>
      </c>
      <c r="H282" s="104">
        <v>172131</v>
      </c>
      <c r="I282" s="104">
        <f t="shared" si="409"/>
        <v>4270</v>
      </c>
      <c r="J282" s="104">
        <v>1</v>
      </c>
      <c r="K282" s="104">
        <v>1</v>
      </c>
      <c r="L282" s="104"/>
      <c r="M282" s="104">
        <v>85526</v>
      </c>
      <c r="N282" s="104">
        <f t="shared" si="415"/>
        <v>86604.444444444438</v>
      </c>
      <c r="O282" s="104">
        <v>81788</v>
      </c>
      <c r="P282" s="104">
        <v>1</v>
      </c>
      <c r="Q282" s="26">
        <v>81788</v>
      </c>
      <c r="R282" s="104">
        <v>1</v>
      </c>
      <c r="S282" s="104">
        <f t="shared" si="338"/>
        <v>3844</v>
      </c>
      <c r="T282" s="104"/>
      <c r="U282" s="26">
        <f t="shared" si="410"/>
        <v>77944</v>
      </c>
      <c r="V282" s="113">
        <f t="shared" si="410"/>
        <v>1</v>
      </c>
      <c r="W282" s="113">
        <v>77944</v>
      </c>
      <c r="X282" s="113">
        <f t="shared" si="411"/>
        <v>1</v>
      </c>
      <c r="Y282" s="113"/>
      <c r="Z282" s="113">
        <f t="shared" si="412"/>
        <v>0</v>
      </c>
      <c r="AA282" s="118">
        <v>0</v>
      </c>
      <c r="AB282" s="122"/>
      <c r="AC282" s="26">
        <f t="shared" si="420"/>
        <v>77944</v>
      </c>
      <c r="AD282" s="104">
        <f t="shared" si="420"/>
        <v>1</v>
      </c>
      <c r="AE282" s="104">
        <v>77944</v>
      </c>
      <c r="AF282" s="104">
        <f t="shared" si="413"/>
        <v>1</v>
      </c>
      <c r="AG282" s="104"/>
      <c r="AH282" s="104">
        <f t="shared" si="414"/>
        <v>0</v>
      </c>
      <c r="AI282" s="104">
        <f t="shared" si="416"/>
        <v>8660.4444444444434</v>
      </c>
      <c r="AJ282" s="104">
        <v>1</v>
      </c>
      <c r="AK282" s="104"/>
      <c r="AL282" s="104">
        <v>0</v>
      </c>
      <c r="AM282" s="104">
        <v>0</v>
      </c>
      <c r="AN282" s="104">
        <f t="shared" si="342"/>
        <v>0</v>
      </c>
      <c r="AO282" s="104"/>
      <c r="AP282" s="113">
        <f t="shared" si="417"/>
        <v>0</v>
      </c>
      <c r="AQ282" s="113"/>
      <c r="AR282" s="34">
        <f t="shared" si="419"/>
        <v>0</v>
      </c>
      <c r="AS282" s="10">
        <f t="shared" si="419"/>
        <v>0</v>
      </c>
      <c r="AT282" s="10">
        <v>0</v>
      </c>
      <c r="AU282" s="10">
        <f t="shared" si="392"/>
        <v>0</v>
      </c>
      <c r="AV282" s="10"/>
      <c r="AW282" s="10">
        <f t="shared" si="393"/>
        <v>0</v>
      </c>
      <c r="AX282" s="10">
        <f t="shared" si="418"/>
        <v>0</v>
      </c>
      <c r="AY282" s="10"/>
      <c r="AZ282" s="10"/>
      <c r="BA282" s="10">
        <v>0</v>
      </c>
      <c r="BB282" s="10">
        <v>0</v>
      </c>
      <c r="BC282" s="10">
        <f t="shared" si="343"/>
        <v>0</v>
      </c>
      <c r="BD282" s="10"/>
      <c r="BE282" s="26">
        <f t="shared" si="388"/>
        <v>0</v>
      </c>
      <c r="BF282" s="104">
        <f t="shared" si="388"/>
        <v>0</v>
      </c>
      <c r="BG282" s="104"/>
      <c r="BH282" s="104">
        <f t="shared" si="389"/>
        <v>0</v>
      </c>
      <c r="BI282" s="104"/>
      <c r="BJ282" s="104">
        <f t="shared" si="390"/>
        <v>0</v>
      </c>
      <c r="BK282" s="104"/>
      <c r="BL282" s="104"/>
      <c r="BM282" s="104"/>
      <c r="BN282" s="104" t="s">
        <v>592</v>
      </c>
      <c r="BO282" s="104" t="s">
        <v>1697</v>
      </c>
      <c r="BP282" s="104" t="s">
        <v>593</v>
      </c>
      <c r="BQ282" s="104" t="s">
        <v>594</v>
      </c>
      <c r="BR282" s="104" t="s">
        <v>583</v>
      </c>
      <c r="BS282" s="104" t="s">
        <v>586</v>
      </c>
      <c r="BT282" s="55" t="s">
        <v>11</v>
      </c>
    </row>
    <row r="283" spans="1:72" s="3" customFormat="1" ht="69" customHeight="1" outlineLevel="1" x14ac:dyDescent="0.25">
      <c r="A283" s="106"/>
      <c r="B283" s="59">
        <v>11</v>
      </c>
      <c r="C283" s="104" t="s">
        <v>1314</v>
      </c>
      <c r="D283" s="104" t="s">
        <v>595</v>
      </c>
      <c r="E283" s="104" t="s">
        <v>9</v>
      </c>
      <c r="F283" s="104">
        <v>174213.06400000001</v>
      </c>
      <c r="G283" s="104">
        <v>166823</v>
      </c>
      <c r="H283" s="26" t="s">
        <v>1734</v>
      </c>
      <c r="I283" s="104" t="e">
        <f t="shared" si="409"/>
        <v>#VALUE!</v>
      </c>
      <c r="J283" s="104">
        <v>1</v>
      </c>
      <c r="K283" s="104">
        <v>1</v>
      </c>
      <c r="L283" s="104"/>
      <c r="M283" s="104">
        <v>105556</v>
      </c>
      <c r="N283" s="104">
        <f t="shared" si="415"/>
        <v>61267.777777777781</v>
      </c>
      <c r="O283" s="104">
        <v>55141</v>
      </c>
      <c r="P283" s="104">
        <v>1</v>
      </c>
      <c r="Q283" s="26">
        <v>55141</v>
      </c>
      <c r="R283" s="104">
        <v>1</v>
      </c>
      <c r="S283" s="104">
        <f t="shared" si="338"/>
        <v>0</v>
      </c>
      <c r="T283" s="104"/>
      <c r="U283" s="26">
        <f t="shared" si="410"/>
        <v>55141</v>
      </c>
      <c r="V283" s="113">
        <f t="shared" si="410"/>
        <v>1</v>
      </c>
      <c r="W283" s="113">
        <v>55141</v>
      </c>
      <c r="X283" s="113">
        <f t="shared" si="411"/>
        <v>1</v>
      </c>
      <c r="Y283" s="113"/>
      <c r="Z283" s="113">
        <f t="shared" si="412"/>
        <v>0</v>
      </c>
      <c r="AA283" s="118">
        <v>0</v>
      </c>
      <c r="AB283" s="122"/>
      <c r="AC283" s="26">
        <f t="shared" si="420"/>
        <v>55141</v>
      </c>
      <c r="AD283" s="104">
        <f t="shared" si="420"/>
        <v>1</v>
      </c>
      <c r="AE283" s="104">
        <v>55141</v>
      </c>
      <c r="AF283" s="104">
        <f t="shared" si="413"/>
        <v>1</v>
      </c>
      <c r="AG283" s="104"/>
      <c r="AH283" s="104">
        <f t="shared" si="414"/>
        <v>0</v>
      </c>
      <c r="AI283" s="104">
        <f t="shared" si="416"/>
        <v>6126.7777777777774</v>
      </c>
      <c r="AJ283" s="104">
        <v>1</v>
      </c>
      <c r="AK283" s="104"/>
      <c r="AL283" s="104">
        <v>0</v>
      </c>
      <c r="AM283" s="104">
        <v>0</v>
      </c>
      <c r="AN283" s="104">
        <f t="shared" si="342"/>
        <v>0</v>
      </c>
      <c r="AO283" s="104"/>
      <c r="AP283" s="113">
        <f t="shared" si="417"/>
        <v>0</v>
      </c>
      <c r="AQ283" s="113"/>
      <c r="AR283" s="34">
        <f t="shared" si="419"/>
        <v>0</v>
      </c>
      <c r="AS283" s="10">
        <f t="shared" si="419"/>
        <v>0</v>
      </c>
      <c r="AT283" s="10">
        <v>0</v>
      </c>
      <c r="AU283" s="10">
        <f t="shared" si="392"/>
        <v>0</v>
      </c>
      <c r="AV283" s="10"/>
      <c r="AW283" s="10">
        <f t="shared" si="393"/>
        <v>0</v>
      </c>
      <c r="AX283" s="10">
        <f t="shared" si="418"/>
        <v>0</v>
      </c>
      <c r="AY283" s="10"/>
      <c r="AZ283" s="10"/>
      <c r="BA283" s="10">
        <v>0</v>
      </c>
      <c r="BB283" s="10">
        <v>0</v>
      </c>
      <c r="BC283" s="10">
        <f t="shared" si="343"/>
        <v>0</v>
      </c>
      <c r="BD283" s="10"/>
      <c r="BE283" s="26">
        <f t="shared" si="388"/>
        <v>0</v>
      </c>
      <c r="BF283" s="104">
        <f t="shared" si="388"/>
        <v>0</v>
      </c>
      <c r="BG283" s="104"/>
      <c r="BH283" s="104">
        <f t="shared" si="389"/>
        <v>0</v>
      </c>
      <c r="BI283" s="104"/>
      <c r="BJ283" s="104">
        <f t="shared" si="390"/>
        <v>0</v>
      </c>
      <c r="BK283" s="104"/>
      <c r="BL283" s="104"/>
      <c r="BM283" s="104"/>
      <c r="BN283" s="104" t="s">
        <v>596</v>
      </c>
      <c r="BO283" s="104" t="s">
        <v>1697</v>
      </c>
      <c r="BP283" s="104" t="s">
        <v>597</v>
      </c>
      <c r="BQ283" s="104" t="s">
        <v>598</v>
      </c>
      <c r="BR283" s="104" t="s">
        <v>609</v>
      </c>
      <c r="BS283" s="104" t="s">
        <v>586</v>
      </c>
      <c r="BT283" s="55" t="s">
        <v>11</v>
      </c>
    </row>
    <row r="284" spans="1:72" s="3" customFormat="1" ht="78.75" customHeight="1" outlineLevel="1" x14ac:dyDescent="0.25">
      <c r="A284" s="106"/>
      <c r="B284" s="59">
        <v>12</v>
      </c>
      <c r="C284" s="104" t="s">
        <v>1317</v>
      </c>
      <c r="D284" s="104" t="s">
        <v>1498</v>
      </c>
      <c r="E284" s="104" t="s">
        <v>9</v>
      </c>
      <c r="F284" s="104">
        <v>159437.69099999999</v>
      </c>
      <c r="G284" s="104">
        <v>152136</v>
      </c>
      <c r="H284" s="104">
        <v>149394</v>
      </c>
      <c r="I284" s="104">
        <f t="shared" si="409"/>
        <v>2742</v>
      </c>
      <c r="J284" s="104">
        <v>1</v>
      </c>
      <c r="K284" s="104">
        <v>1</v>
      </c>
      <c r="L284" s="104"/>
      <c r="M284" s="104">
        <v>105556</v>
      </c>
      <c r="N284" s="104">
        <f t="shared" si="415"/>
        <v>43837.777777777781</v>
      </c>
      <c r="O284" s="104">
        <v>41922</v>
      </c>
      <c r="P284" s="104">
        <v>1</v>
      </c>
      <c r="Q284" s="26">
        <v>41922</v>
      </c>
      <c r="R284" s="104">
        <v>1</v>
      </c>
      <c r="S284" s="104">
        <f t="shared" si="338"/>
        <v>2468</v>
      </c>
      <c r="T284" s="104"/>
      <c r="U284" s="26">
        <f t="shared" si="410"/>
        <v>39454</v>
      </c>
      <c r="V284" s="113">
        <f t="shared" si="410"/>
        <v>1</v>
      </c>
      <c r="W284" s="113">
        <v>39454</v>
      </c>
      <c r="X284" s="113">
        <f t="shared" si="411"/>
        <v>1</v>
      </c>
      <c r="Y284" s="113"/>
      <c r="Z284" s="113">
        <f t="shared" si="412"/>
        <v>0</v>
      </c>
      <c r="AA284" s="118">
        <v>0</v>
      </c>
      <c r="AB284" s="122"/>
      <c r="AC284" s="26">
        <f t="shared" si="420"/>
        <v>39454</v>
      </c>
      <c r="AD284" s="104">
        <f t="shared" si="420"/>
        <v>1</v>
      </c>
      <c r="AE284" s="104">
        <v>39454</v>
      </c>
      <c r="AF284" s="104">
        <f t="shared" si="413"/>
        <v>1</v>
      </c>
      <c r="AG284" s="104"/>
      <c r="AH284" s="104">
        <f t="shared" si="414"/>
        <v>0</v>
      </c>
      <c r="AI284" s="104">
        <f t="shared" si="416"/>
        <v>4383.7777777777774</v>
      </c>
      <c r="AJ284" s="104">
        <v>1</v>
      </c>
      <c r="AK284" s="104"/>
      <c r="AL284" s="104">
        <v>0</v>
      </c>
      <c r="AM284" s="104">
        <v>0</v>
      </c>
      <c r="AN284" s="104">
        <f t="shared" si="342"/>
        <v>0</v>
      </c>
      <c r="AO284" s="104"/>
      <c r="AP284" s="113">
        <f t="shared" si="417"/>
        <v>0</v>
      </c>
      <c r="AQ284" s="113"/>
      <c r="AR284" s="34">
        <f t="shared" si="419"/>
        <v>0</v>
      </c>
      <c r="AS284" s="10">
        <f t="shared" si="419"/>
        <v>0</v>
      </c>
      <c r="AT284" s="10">
        <v>0</v>
      </c>
      <c r="AU284" s="10">
        <f t="shared" si="392"/>
        <v>0</v>
      </c>
      <c r="AV284" s="10"/>
      <c r="AW284" s="10">
        <f t="shared" si="393"/>
        <v>0</v>
      </c>
      <c r="AX284" s="10">
        <f t="shared" si="418"/>
        <v>0</v>
      </c>
      <c r="AY284" s="10"/>
      <c r="AZ284" s="10"/>
      <c r="BA284" s="10">
        <v>0</v>
      </c>
      <c r="BB284" s="10">
        <v>0</v>
      </c>
      <c r="BC284" s="10">
        <f t="shared" si="343"/>
        <v>0</v>
      </c>
      <c r="BD284" s="10"/>
      <c r="BE284" s="26">
        <f t="shared" si="388"/>
        <v>0</v>
      </c>
      <c r="BF284" s="104">
        <f t="shared" si="388"/>
        <v>0</v>
      </c>
      <c r="BG284" s="104"/>
      <c r="BH284" s="104">
        <f t="shared" si="389"/>
        <v>0</v>
      </c>
      <c r="BI284" s="104"/>
      <c r="BJ284" s="104">
        <f t="shared" si="390"/>
        <v>0</v>
      </c>
      <c r="BK284" s="104"/>
      <c r="BL284" s="104"/>
      <c r="BM284" s="104"/>
      <c r="BN284" s="104" t="s">
        <v>599</v>
      </c>
      <c r="BO284" s="104" t="s">
        <v>1697</v>
      </c>
      <c r="BP284" s="104" t="s">
        <v>600</v>
      </c>
      <c r="BQ284" s="104" t="s">
        <v>598</v>
      </c>
      <c r="BR284" s="104" t="s">
        <v>601</v>
      </c>
      <c r="BS284" s="104" t="s">
        <v>586</v>
      </c>
      <c r="BT284" s="55" t="s">
        <v>11</v>
      </c>
    </row>
    <row r="285" spans="1:72" s="3" customFormat="1" ht="78.75" customHeight="1" outlineLevel="1" x14ac:dyDescent="0.25">
      <c r="A285" s="106"/>
      <c r="B285" s="59">
        <v>13</v>
      </c>
      <c r="C285" s="104" t="s">
        <v>1315</v>
      </c>
      <c r="D285" s="104" t="s">
        <v>606</v>
      </c>
      <c r="E285" s="104" t="s">
        <v>9</v>
      </c>
      <c r="F285" s="104">
        <v>179265.91</v>
      </c>
      <c r="G285" s="104">
        <v>171300</v>
      </c>
      <c r="H285" s="104">
        <v>168475</v>
      </c>
      <c r="I285" s="104">
        <f t="shared" si="409"/>
        <v>2825</v>
      </c>
      <c r="J285" s="104">
        <v>1</v>
      </c>
      <c r="K285" s="104">
        <v>1</v>
      </c>
      <c r="L285" s="104"/>
      <c r="M285" s="104">
        <v>89266</v>
      </c>
      <c r="N285" s="104">
        <f t="shared" si="415"/>
        <v>79208.888888888891</v>
      </c>
      <c r="O285" s="104">
        <v>73831</v>
      </c>
      <c r="P285" s="104">
        <v>1</v>
      </c>
      <c r="Q285" s="26">
        <v>73831</v>
      </c>
      <c r="R285" s="104">
        <v>1</v>
      </c>
      <c r="S285" s="104">
        <f t="shared" si="338"/>
        <v>2543</v>
      </c>
      <c r="T285" s="104"/>
      <c r="U285" s="26">
        <f t="shared" si="410"/>
        <v>71288</v>
      </c>
      <c r="V285" s="113">
        <f t="shared" si="410"/>
        <v>1</v>
      </c>
      <c r="W285" s="113">
        <v>71288</v>
      </c>
      <c r="X285" s="113">
        <f t="shared" si="411"/>
        <v>1</v>
      </c>
      <c r="Y285" s="113"/>
      <c r="Z285" s="113">
        <f t="shared" si="412"/>
        <v>0</v>
      </c>
      <c r="AA285" s="118">
        <v>0</v>
      </c>
      <c r="AB285" s="122"/>
      <c r="AC285" s="26">
        <f t="shared" si="420"/>
        <v>71288</v>
      </c>
      <c r="AD285" s="104">
        <f t="shared" si="420"/>
        <v>1</v>
      </c>
      <c r="AE285" s="104">
        <v>71288</v>
      </c>
      <c r="AF285" s="104">
        <f t="shared" si="413"/>
        <v>1</v>
      </c>
      <c r="AG285" s="104"/>
      <c r="AH285" s="104">
        <f t="shared" si="414"/>
        <v>0</v>
      </c>
      <c r="AI285" s="104">
        <f t="shared" si="416"/>
        <v>7920.8888888888896</v>
      </c>
      <c r="AJ285" s="104">
        <v>1</v>
      </c>
      <c r="AK285" s="104"/>
      <c r="AL285" s="104">
        <v>0</v>
      </c>
      <c r="AM285" s="104">
        <v>0</v>
      </c>
      <c r="AN285" s="104">
        <f t="shared" si="342"/>
        <v>0</v>
      </c>
      <c r="AO285" s="104"/>
      <c r="AP285" s="113">
        <f t="shared" si="417"/>
        <v>0</v>
      </c>
      <c r="AQ285" s="113"/>
      <c r="AR285" s="34">
        <f t="shared" si="419"/>
        <v>0</v>
      </c>
      <c r="AS285" s="10">
        <f t="shared" si="419"/>
        <v>0</v>
      </c>
      <c r="AT285" s="10">
        <v>0</v>
      </c>
      <c r="AU285" s="10">
        <f t="shared" si="392"/>
        <v>0</v>
      </c>
      <c r="AV285" s="10"/>
      <c r="AW285" s="10">
        <f t="shared" si="393"/>
        <v>0</v>
      </c>
      <c r="AX285" s="10">
        <f t="shared" si="418"/>
        <v>0</v>
      </c>
      <c r="AY285" s="10"/>
      <c r="AZ285" s="10"/>
      <c r="BA285" s="10">
        <v>0</v>
      </c>
      <c r="BB285" s="10">
        <v>0</v>
      </c>
      <c r="BC285" s="10">
        <f t="shared" si="343"/>
        <v>0</v>
      </c>
      <c r="BD285" s="10"/>
      <c r="BE285" s="26">
        <f t="shared" si="388"/>
        <v>0</v>
      </c>
      <c r="BF285" s="104">
        <f t="shared" si="388"/>
        <v>0</v>
      </c>
      <c r="BG285" s="104"/>
      <c r="BH285" s="104">
        <f t="shared" si="389"/>
        <v>0</v>
      </c>
      <c r="BI285" s="104"/>
      <c r="BJ285" s="104">
        <f t="shared" si="390"/>
        <v>0</v>
      </c>
      <c r="BK285" s="104"/>
      <c r="BL285" s="104"/>
      <c r="BM285" s="104"/>
      <c r="BN285" s="104" t="s">
        <v>607</v>
      </c>
      <c r="BO285" s="104" t="s">
        <v>1697</v>
      </c>
      <c r="BP285" s="104" t="s">
        <v>608</v>
      </c>
      <c r="BQ285" s="104" t="s">
        <v>598</v>
      </c>
      <c r="BR285" s="104" t="s">
        <v>609</v>
      </c>
      <c r="BS285" s="104" t="s">
        <v>586</v>
      </c>
      <c r="BT285" s="55" t="s">
        <v>11</v>
      </c>
    </row>
    <row r="286" spans="1:72" s="3" customFormat="1" ht="69" customHeight="1" outlineLevel="1" x14ac:dyDescent="0.25">
      <c r="A286" s="106"/>
      <c r="B286" s="59">
        <v>14</v>
      </c>
      <c r="C286" s="104" t="s">
        <v>1316</v>
      </c>
      <c r="D286" s="104" t="s">
        <v>610</v>
      </c>
      <c r="E286" s="104" t="s">
        <v>9</v>
      </c>
      <c r="F286" s="104">
        <v>182962</v>
      </c>
      <c r="G286" s="104">
        <v>174993</v>
      </c>
      <c r="H286" s="104">
        <v>169039</v>
      </c>
      <c r="I286" s="104">
        <f t="shared" si="409"/>
        <v>5954</v>
      </c>
      <c r="J286" s="104">
        <v>1</v>
      </c>
      <c r="K286" s="104">
        <v>1</v>
      </c>
      <c r="L286" s="104"/>
      <c r="M286" s="104">
        <v>92962</v>
      </c>
      <c r="N286" s="104">
        <f t="shared" si="415"/>
        <v>76076.666666666672</v>
      </c>
      <c r="O286" s="104">
        <v>73828</v>
      </c>
      <c r="P286" s="104">
        <v>1</v>
      </c>
      <c r="Q286" s="26">
        <v>73828</v>
      </c>
      <c r="R286" s="104">
        <v>1</v>
      </c>
      <c r="S286" s="104">
        <f t="shared" si="338"/>
        <v>5359</v>
      </c>
      <c r="T286" s="104"/>
      <c r="U286" s="26">
        <f t="shared" si="410"/>
        <v>43469</v>
      </c>
      <c r="V286" s="113">
        <f t="shared" si="410"/>
        <v>1</v>
      </c>
      <c r="W286" s="113">
        <v>43469</v>
      </c>
      <c r="X286" s="113">
        <f t="shared" si="411"/>
        <v>1</v>
      </c>
      <c r="Y286" s="113"/>
      <c r="Z286" s="113">
        <f t="shared" si="412"/>
        <v>0</v>
      </c>
      <c r="AA286" s="118"/>
      <c r="AB286" s="122">
        <v>25000</v>
      </c>
      <c r="AC286" s="26">
        <f t="shared" si="420"/>
        <v>68469</v>
      </c>
      <c r="AD286" s="104">
        <f t="shared" si="420"/>
        <v>1</v>
      </c>
      <c r="AE286" s="104">
        <f>43469+25000</f>
        <v>68469</v>
      </c>
      <c r="AF286" s="104">
        <f t="shared" si="413"/>
        <v>1</v>
      </c>
      <c r="AG286" s="104"/>
      <c r="AH286" s="104">
        <f t="shared" si="414"/>
        <v>0</v>
      </c>
      <c r="AI286" s="104">
        <f t="shared" si="416"/>
        <v>7607.6666666666679</v>
      </c>
      <c r="AJ286" s="104">
        <v>1</v>
      </c>
      <c r="AK286" s="104"/>
      <c r="AL286" s="104">
        <v>0</v>
      </c>
      <c r="AM286" s="104">
        <v>0</v>
      </c>
      <c r="AN286" s="104">
        <f t="shared" si="342"/>
        <v>-25000</v>
      </c>
      <c r="AO286" s="104"/>
      <c r="AP286" s="113">
        <f t="shared" si="417"/>
        <v>-25000</v>
      </c>
      <c r="AQ286" s="113"/>
      <c r="AR286" s="34">
        <f t="shared" si="419"/>
        <v>25000</v>
      </c>
      <c r="AS286" s="10">
        <f t="shared" si="419"/>
        <v>1</v>
      </c>
      <c r="AT286" s="10">
        <v>25000</v>
      </c>
      <c r="AU286" s="10">
        <f t="shared" si="392"/>
        <v>1</v>
      </c>
      <c r="AV286" s="10"/>
      <c r="AW286" s="10">
        <f t="shared" si="393"/>
        <v>0</v>
      </c>
      <c r="AX286" s="10">
        <f t="shared" si="418"/>
        <v>2777.7777777777778</v>
      </c>
      <c r="AY286" s="10"/>
      <c r="AZ286" s="10"/>
      <c r="BA286" s="10">
        <v>0</v>
      </c>
      <c r="BB286" s="10">
        <v>0</v>
      </c>
      <c r="BC286" s="10">
        <f t="shared" si="343"/>
        <v>0</v>
      </c>
      <c r="BD286" s="10"/>
      <c r="BE286" s="26">
        <f t="shared" si="388"/>
        <v>0</v>
      </c>
      <c r="BF286" s="104">
        <f t="shared" si="388"/>
        <v>0</v>
      </c>
      <c r="BG286" s="104"/>
      <c r="BH286" s="104">
        <f t="shared" si="389"/>
        <v>0</v>
      </c>
      <c r="BI286" s="104"/>
      <c r="BJ286" s="104">
        <f t="shared" si="390"/>
        <v>0</v>
      </c>
      <c r="BK286" s="104"/>
      <c r="BL286" s="104"/>
      <c r="BM286" s="104"/>
      <c r="BN286" s="104" t="s">
        <v>611</v>
      </c>
      <c r="BO286" s="104" t="s">
        <v>1697</v>
      </c>
      <c r="BP286" s="104" t="s">
        <v>612</v>
      </c>
      <c r="BQ286" s="104" t="s">
        <v>613</v>
      </c>
      <c r="BR286" s="104" t="s">
        <v>614</v>
      </c>
      <c r="BS286" s="104" t="s">
        <v>586</v>
      </c>
      <c r="BT286" s="55" t="s">
        <v>11</v>
      </c>
    </row>
    <row r="287" spans="1:72" s="3" customFormat="1" ht="83.25" customHeight="1" outlineLevel="1" x14ac:dyDescent="0.25">
      <c r="A287" s="106"/>
      <c r="B287" s="59">
        <v>15</v>
      </c>
      <c r="C287" s="104" t="s">
        <v>1318</v>
      </c>
      <c r="D287" s="104" t="s">
        <v>633</v>
      </c>
      <c r="E287" s="104" t="s">
        <v>9</v>
      </c>
      <c r="F287" s="104">
        <v>159008</v>
      </c>
      <c r="G287" s="104">
        <v>150977.29999999999</v>
      </c>
      <c r="H287" s="104">
        <v>148466</v>
      </c>
      <c r="I287" s="104">
        <f t="shared" si="409"/>
        <v>2511.2999999999884</v>
      </c>
      <c r="J287" s="104">
        <v>1</v>
      </c>
      <c r="K287" s="104">
        <v>1</v>
      </c>
      <c r="L287" s="104"/>
      <c r="M287" s="104">
        <v>99008</v>
      </c>
      <c r="N287" s="104">
        <f t="shared" si="415"/>
        <v>49457.777777777781</v>
      </c>
      <c r="O287" s="104">
        <v>46772</v>
      </c>
      <c r="P287" s="104">
        <v>1</v>
      </c>
      <c r="Q287" s="26">
        <v>46772</v>
      </c>
      <c r="R287" s="104">
        <v>1</v>
      </c>
      <c r="S287" s="104">
        <f t="shared" si="338"/>
        <v>2260</v>
      </c>
      <c r="T287" s="104"/>
      <c r="U287" s="26">
        <f t="shared" si="410"/>
        <v>44512</v>
      </c>
      <c r="V287" s="113">
        <f t="shared" si="410"/>
        <v>1</v>
      </c>
      <c r="W287" s="113">
        <v>44512</v>
      </c>
      <c r="X287" s="113">
        <f t="shared" si="411"/>
        <v>1</v>
      </c>
      <c r="Y287" s="113"/>
      <c r="Z287" s="113">
        <f t="shared" si="412"/>
        <v>0</v>
      </c>
      <c r="AA287" s="118">
        <v>0</v>
      </c>
      <c r="AB287" s="122"/>
      <c r="AC287" s="26">
        <f t="shared" si="420"/>
        <v>44512</v>
      </c>
      <c r="AD287" s="104">
        <f t="shared" si="420"/>
        <v>1</v>
      </c>
      <c r="AE287" s="104">
        <v>44512</v>
      </c>
      <c r="AF287" s="104">
        <f t="shared" si="413"/>
        <v>1</v>
      </c>
      <c r="AG287" s="104"/>
      <c r="AH287" s="104">
        <f t="shared" si="414"/>
        <v>0</v>
      </c>
      <c r="AI287" s="104">
        <f t="shared" si="416"/>
        <v>4945.7777777777774</v>
      </c>
      <c r="AJ287" s="104">
        <v>1</v>
      </c>
      <c r="AK287" s="104"/>
      <c r="AL287" s="104">
        <v>0</v>
      </c>
      <c r="AM287" s="104">
        <v>0</v>
      </c>
      <c r="AN287" s="104">
        <f t="shared" si="342"/>
        <v>0</v>
      </c>
      <c r="AO287" s="104"/>
      <c r="AP287" s="113">
        <f t="shared" si="417"/>
        <v>0</v>
      </c>
      <c r="AQ287" s="113"/>
      <c r="AR287" s="34">
        <f t="shared" si="419"/>
        <v>0</v>
      </c>
      <c r="AS287" s="10">
        <f t="shared" si="419"/>
        <v>0</v>
      </c>
      <c r="AT287" s="10">
        <v>0</v>
      </c>
      <c r="AU287" s="10">
        <f t="shared" si="392"/>
        <v>0</v>
      </c>
      <c r="AV287" s="10"/>
      <c r="AW287" s="10">
        <f t="shared" si="393"/>
        <v>0</v>
      </c>
      <c r="AX287" s="10">
        <f t="shared" si="418"/>
        <v>0</v>
      </c>
      <c r="AY287" s="10"/>
      <c r="AZ287" s="10"/>
      <c r="BA287" s="10">
        <v>0</v>
      </c>
      <c r="BB287" s="10">
        <v>0</v>
      </c>
      <c r="BC287" s="10">
        <f t="shared" si="343"/>
        <v>0</v>
      </c>
      <c r="BD287" s="10"/>
      <c r="BE287" s="26">
        <f t="shared" si="388"/>
        <v>0</v>
      </c>
      <c r="BF287" s="104">
        <f t="shared" si="388"/>
        <v>0</v>
      </c>
      <c r="BG287" s="104"/>
      <c r="BH287" s="104">
        <f t="shared" si="389"/>
        <v>0</v>
      </c>
      <c r="BI287" s="104"/>
      <c r="BJ287" s="104">
        <f t="shared" si="390"/>
        <v>0</v>
      </c>
      <c r="BK287" s="104"/>
      <c r="BL287" s="104"/>
      <c r="BM287" s="104"/>
      <c r="BN287" s="104" t="s">
        <v>634</v>
      </c>
      <c r="BO287" s="104" t="s">
        <v>1697</v>
      </c>
      <c r="BP287" s="104" t="s">
        <v>635</v>
      </c>
      <c r="BQ287" s="104" t="s">
        <v>620</v>
      </c>
      <c r="BR287" s="104" t="s">
        <v>614</v>
      </c>
      <c r="BS287" s="104" t="s">
        <v>575</v>
      </c>
      <c r="BT287" s="55" t="s">
        <v>11</v>
      </c>
    </row>
    <row r="288" spans="1:72" s="3" customFormat="1" ht="69.75" customHeight="1" outlineLevel="1" x14ac:dyDescent="0.25">
      <c r="A288" s="106"/>
      <c r="B288" s="59">
        <v>16</v>
      </c>
      <c r="C288" s="104" t="s">
        <v>1319</v>
      </c>
      <c r="D288" s="104" t="s">
        <v>641</v>
      </c>
      <c r="E288" s="104" t="s">
        <v>9</v>
      </c>
      <c r="F288" s="104">
        <v>283009.55</v>
      </c>
      <c r="G288" s="104">
        <v>277337.90000000002</v>
      </c>
      <c r="H288" s="104">
        <v>275551</v>
      </c>
      <c r="I288" s="104">
        <f t="shared" si="409"/>
        <v>1786.9000000000233</v>
      </c>
      <c r="J288" s="104">
        <v>1</v>
      </c>
      <c r="K288" s="104">
        <v>1</v>
      </c>
      <c r="L288" s="104"/>
      <c r="M288" s="104">
        <v>163010</v>
      </c>
      <c r="N288" s="104">
        <f t="shared" si="415"/>
        <v>112541.11111111111</v>
      </c>
      <c r="O288" s="104">
        <v>102895</v>
      </c>
      <c r="P288" s="104">
        <v>1</v>
      </c>
      <c r="Q288" s="26">
        <v>102895</v>
      </c>
      <c r="R288" s="104">
        <v>1</v>
      </c>
      <c r="S288" s="104">
        <f t="shared" ref="S288:S324" si="421">Q288-AC288</f>
        <v>1608</v>
      </c>
      <c r="T288" s="104"/>
      <c r="U288" s="26">
        <f t="shared" si="410"/>
        <v>101287</v>
      </c>
      <c r="V288" s="113">
        <f t="shared" si="410"/>
        <v>1</v>
      </c>
      <c r="W288" s="113">
        <v>101287</v>
      </c>
      <c r="X288" s="113">
        <f t="shared" si="411"/>
        <v>1</v>
      </c>
      <c r="Y288" s="113"/>
      <c r="Z288" s="113">
        <f t="shared" si="412"/>
        <v>0</v>
      </c>
      <c r="AA288" s="118">
        <v>0</v>
      </c>
      <c r="AB288" s="122"/>
      <c r="AC288" s="26">
        <f t="shared" si="420"/>
        <v>101287</v>
      </c>
      <c r="AD288" s="104">
        <f t="shared" si="420"/>
        <v>1</v>
      </c>
      <c r="AE288" s="104">
        <v>101287</v>
      </c>
      <c r="AF288" s="104">
        <f t="shared" si="413"/>
        <v>1</v>
      </c>
      <c r="AG288" s="104"/>
      <c r="AH288" s="104">
        <f t="shared" si="414"/>
        <v>0</v>
      </c>
      <c r="AI288" s="104">
        <f t="shared" si="416"/>
        <v>11254.111111111111</v>
      </c>
      <c r="AJ288" s="104">
        <v>1</v>
      </c>
      <c r="AK288" s="104"/>
      <c r="AL288" s="104">
        <v>0</v>
      </c>
      <c r="AM288" s="104">
        <v>0</v>
      </c>
      <c r="AN288" s="104">
        <f t="shared" ref="AN288:AN324" si="422">AL288-AR288</f>
        <v>0</v>
      </c>
      <c r="AO288" s="104"/>
      <c r="AP288" s="113">
        <f t="shared" si="417"/>
        <v>0</v>
      </c>
      <c r="AQ288" s="113"/>
      <c r="AR288" s="34">
        <f t="shared" si="419"/>
        <v>0</v>
      </c>
      <c r="AS288" s="10">
        <f t="shared" si="419"/>
        <v>0</v>
      </c>
      <c r="AT288" s="10">
        <v>0</v>
      </c>
      <c r="AU288" s="10">
        <f t="shared" si="392"/>
        <v>0</v>
      </c>
      <c r="AV288" s="10"/>
      <c r="AW288" s="10">
        <f t="shared" si="393"/>
        <v>0</v>
      </c>
      <c r="AX288" s="10">
        <f t="shared" si="418"/>
        <v>0</v>
      </c>
      <c r="AY288" s="10"/>
      <c r="AZ288" s="10"/>
      <c r="BA288" s="10">
        <v>0</v>
      </c>
      <c r="BB288" s="10">
        <v>0</v>
      </c>
      <c r="BC288" s="10">
        <f t="shared" ref="BC288:BC324" si="423">BA288-BE288</f>
        <v>0</v>
      </c>
      <c r="BD288" s="10"/>
      <c r="BE288" s="26">
        <f t="shared" si="388"/>
        <v>0</v>
      </c>
      <c r="BF288" s="104">
        <f t="shared" si="388"/>
        <v>0</v>
      </c>
      <c r="BG288" s="104"/>
      <c r="BH288" s="104">
        <f t="shared" si="389"/>
        <v>0</v>
      </c>
      <c r="BI288" s="104"/>
      <c r="BJ288" s="104">
        <f t="shared" si="390"/>
        <v>0</v>
      </c>
      <c r="BK288" s="104"/>
      <c r="BL288" s="104"/>
      <c r="BM288" s="104"/>
      <c r="BN288" s="104" t="s">
        <v>642</v>
      </c>
      <c r="BO288" s="104" t="s">
        <v>1697</v>
      </c>
      <c r="BP288" s="104" t="s">
        <v>643</v>
      </c>
      <c r="BQ288" s="104" t="s">
        <v>626</v>
      </c>
      <c r="BR288" s="104" t="s">
        <v>573</v>
      </c>
      <c r="BS288" s="104" t="s">
        <v>586</v>
      </c>
      <c r="BT288" s="55" t="s">
        <v>11</v>
      </c>
    </row>
    <row r="289" spans="1:73" s="3" customFormat="1" ht="84" customHeight="1" outlineLevel="1" x14ac:dyDescent="0.25">
      <c r="A289" s="106"/>
      <c r="B289" s="59">
        <v>17</v>
      </c>
      <c r="C289" s="104" t="s">
        <v>1320</v>
      </c>
      <c r="D289" s="104" t="s">
        <v>1499</v>
      </c>
      <c r="E289" s="104" t="s">
        <v>9</v>
      </c>
      <c r="F289" s="104">
        <v>165320</v>
      </c>
      <c r="G289" s="104">
        <v>159426</v>
      </c>
      <c r="H289" s="26"/>
      <c r="I289" s="104">
        <f t="shared" si="409"/>
        <v>159426</v>
      </c>
      <c r="J289" s="104">
        <v>1</v>
      </c>
      <c r="K289" s="104">
        <v>1</v>
      </c>
      <c r="L289" s="104"/>
      <c r="M289" s="104">
        <v>85320</v>
      </c>
      <c r="N289" s="104">
        <f t="shared" si="415"/>
        <v>74105.555555555562</v>
      </c>
      <c r="O289" s="104">
        <v>66695</v>
      </c>
      <c r="P289" s="104">
        <v>1</v>
      </c>
      <c r="Q289" s="26">
        <v>66695</v>
      </c>
      <c r="R289" s="104">
        <v>1</v>
      </c>
      <c r="S289" s="104">
        <f t="shared" si="421"/>
        <v>0</v>
      </c>
      <c r="T289" s="104"/>
      <c r="U289" s="26">
        <f t="shared" si="410"/>
        <v>66695</v>
      </c>
      <c r="V289" s="113">
        <f t="shared" si="410"/>
        <v>1</v>
      </c>
      <c r="W289" s="113">
        <v>66695</v>
      </c>
      <c r="X289" s="113">
        <f t="shared" si="411"/>
        <v>1</v>
      </c>
      <c r="Y289" s="113"/>
      <c r="Z289" s="113">
        <f t="shared" si="412"/>
        <v>0</v>
      </c>
      <c r="AA289" s="118">
        <v>0</v>
      </c>
      <c r="AB289" s="122"/>
      <c r="AC289" s="26">
        <f t="shared" si="420"/>
        <v>66695</v>
      </c>
      <c r="AD289" s="104">
        <f t="shared" si="420"/>
        <v>1</v>
      </c>
      <c r="AE289" s="104">
        <v>66695</v>
      </c>
      <c r="AF289" s="104">
        <f t="shared" si="413"/>
        <v>1</v>
      </c>
      <c r="AG289" s="104"/>
      <c r="AH289" s="104">
        <f t="shared" si="414"/>
        <v>0</v>
      </c>
      <c r="AI289" s="104">
        <f t="shared" si="416"/>
        <v>7410.5555555555547</v>
      </c>
      <c r="AJ289" s="104">
        <v>1</v>
      </c>
      <c r="AK289" s="104"/>
      <c r="AL289" s="104">
        <v>0</v>
      </c>
      <c r="AM289" s="104">
        <v>0</v>
      </c>
      <c r="AN289" s="104">
        <f t="shared" si="422"/>
        <v>0</v>
      </c>
      <c r="AO289" s="104"/>
      <c r="AP289" s="113">
        <f t="shared" si="417"/>
        <v>0</v>
      </c>
      <c r="AQ289" s="113"/>
      <c r="AR289" s="34">
        <f t="shared" si="419"/>
        <v>0</v>
      </c>
      <c r="AS289" s="10">
        <f t="shared" si="419"/>
        <v>0</v>
      </c>
      <c r="AT289" s="10">
        <v>0</v>
      </c>
      <c r="AU289" s="10">
        <f t="shared" si="392"/>
        <v>0</v>
      </c>
      <c r="AV289" s="10"/>
      <c r="AW289" s="10">
        <f t="shared" si="393"/>
        <v>0</v>
      </c>
      <c r="AX289" s="10">
        <f t="shared" si="418"/>
        <v>0</v>
      </c>
      <c r="AY289" s="10"/>
      <c r="AZ289" s="10"/>
      <c r="BA289" s="10">
        <v>0</v>
      </c>
      <c r="BB289" s="10">
        <v>0</v>
      </c>
      <c r="BC289" s="10">
        <f t="shared" si="423"/>
        <v>0</v>
      </c>
      <c r="BD289" s="10"/>
      <c r="BE289" s="26">
        <f t="shared" si="388"/>
        <v>0</v>
      </c>
      <c r="BF289" s="104">
        <f t="shared" si="388"/>
        <v>0</v>
      </c>
      <c r="BG289" s="104"/>
      <c r="BH289" s="104">
        <f t="shared" si="389"/>
        <v>0</v>
      </c>
      <c r="BI289" s="104"/>
      <c r="BJ289" s="104">
        <f t="shared" si="390"/>
        <v>0</v>
      </c>
      <c r="BK289" s="104"/>
      <c r="BL289" s="104"/>
      <c r="BM289" s="104"/>
      <c r="BN289" s="104" t="s">
        <v>647</v>
      </c>
      <c r="BO289" s="104" t="s">
        <v>1697</v>
      </c>
      <c r="BP289" s="104" t="s">
        <v>1206</v>
      </c>
      <c r="BQ289" s="104" t="s">
        <v>646</v>
      </c>
      <c r="BR289" s="104" t="s">
        <v>630</v>
      </c>
      <c r="BS289" s="104" t="s">
        <v>586</v>
      </c>
      <c r="BT289" s="55" t="s">
        <v>11</v>
      </c>
    </row>
    <row r="290" spans="1:73" s="3" customFormat="1" ht="82.5" customHeight="1" outlineLevel="1" x14ac:dyDescent="0.25">
      <c r="A290" s="106"/>
      <c r="B290" s="59">
        <v>18</v>
      </c>
      <c r="C290" s="104" t="s">
        <v>1321</v>
      </c>
      <c r="D290" s="104" t="s">
        <v>652</v>
      </c>
      <c r="E290" s="104" t="s">
        <v>9</v>
      </c>
      <c r="F290" s="104">
        <v>145282.55600000001</v>
      </c>
      <c r="G290" s="104">
        <v>138179.992</v>
      </c>
      <c r="H290" s="104">
        <v>130648</v>
      </c>
      <c r="I290" s="104">
        <f t="shared" si="409"/>
        <v>7531.9919999999984</v>
      </c>
      <c r="J290" s="104">
        <v>1</v>
      </c>
      <c r="K290" s="104">
        <v>1</v>
      </c>
      <c r="L290" s="104"/>
      <c r="M290" s="104">
        <v>50000</v>
      </c>
      <c r="N290" s="104">
        <f t="shared" si="415"/>
        <v>80647.777777777781</v>
      </c>
      <c r="O290" s="104">
        <v>79362</v>
      </c>
      <c r="P290" s="104">
        <v>1</v>
      </c>
      <c r="Q290" s="26">
        <v>79362</v>
      </c>
      <c r="R290" s="104">
        <v>1</v>
      </c>
      <c r="S290" s="104">
        <f t="shared" si="421"/>
        <v>6779</v>
      </c>
      <c r="T290" s="104"/>
      <c r="U290" s="26">
        <f t="shared" si="410"/>
        <v>72583</v>
      </c>
      <c r="V290" s="113">
        <f t="shared" si="410"/>
        <v>1</v>
      </c>
      <c r="W290" s="113">
        <v>72583</v>
      </c>
      <c r="X290" s="113">
        <f t="shared" si="411"/>
        <v>1</v>
      </c>
      <c r="Y290" s="113"/>
      <c r="Z290" s="113">
        <f t="shared" si="412"/>
        <v>0</v>
      </c>
      <c r="AA290" s="118">
        <v>0</v>
      </c>
      <c r="AB290" s="122"/>
      <c r="AC290" s="26">
        <f t="shared" si="420"/>
        <v>72583</v>
      </c>
      <c r="AD290" s="104">
        <f t="shared" si="420"/>
        <v>1</v>
      </c>
      <c r="AE290" s="104">
        <v>72583</v>
      </c>
      <c r="AF290" s="104">
        <f t="shared" si="413"/>
        <v>1</v>
      </c>
      <c r="AG290" s="104"/>
      <c r="AH290" s="104">
        <f t="shared" si="414"/>
        <v>0</v>
      </c>
      <c r="AI290" s="104">
        <f t="shared" si="416"/>
        <v>8064.7777777777783</v>
      </c>
      <c r="AJ290" s="104">
        <v>1</v>
      </c>
      <c r="AK290" s="104"/>
      <c r="AL290" s="104">
        <v>0</v>
      </c>
      <c r="AM290" s="104">
        <v>0</v>
      </c>
      <c r="AN290" s="104">
        <f t="shared" si="422"/>
        <v>0</v>
      </c>
      <c r="AO290" s="104"/>
      <c r="AP290" s="113">
        <f t="shared" si="417"/>
        <v>0</v>
      </c>
      <c r="AQ290" s="113"/>
      <c r="AR290" s="34">
        <f t="shared" si="419"/>
        <v>0</v>
      </c>
      <c r="AS290" s="10">
        <f t="shared" si="419"/>
        <v>0</v>
      </c>
      <c r="AT290" s="10">
        <v>0</v>
      </c>
      <c r="AU290" s="10">
        <f t="shared" si="392"/>
        <v>0</v>
      </c>
      <c r="AV290" s="10"/>
      <c r="AW290" s="10">
        <f t="shared" si="393"/>
        <v>0</v>
      </c>
      <c r="AX290" s="10">
        <f t="shared" si="418"/>
        <v>0</v>
      </c>
      <c r="AY290" s="10"/>
      <c r="AZ290" s="10"/>
      <c r="BA290" s="10">
        <v>0</v>
      </c>
      <c r="BB290" s="10">
        <v>0</v>
      </c>
      <c r="BC290" s="10">
        <f t="shared" si="423"/>
        <v>0</v>
      </c>
      <c r="BD290" s="10"/>
      <c r="BE290" s="26">
        <f t="shared" si="388"/>
        <v>0</v>
      </c>
      <c r="BF290" s="104">
        <f t="shared" si="388"/>
        <v>0</v>
      </c>
      <c r="BG290" s="104"/>
      <c r="BH290" s="104">
        <f t="shared" si="389"/>
        <v>0</v>
      </c>
      <c r="BI290" s="104"/>
      <c r="BJ290" s="104">
        <f t="shared" si="390"/>
        <v>0</v>
      </c>
      <c r="BK290" s="104"/>
      <c r="BL290" s="104"/>
      <c r="BM290" s="104"/>
      <c r="BN290" s="104" t="s">
        <v>653</v>
      </c>
      <c r="BO290" s="104" t="s">
        <v>1697</v>
      </c>
      <c r="BP290" s="104" t="s">
        <v>654</v>
      </c>
      <c r="BQ290" s="104" t="s">
        <v>598</v>
      </c>
      <c r="BR290" s="104" t="s">
        <v>609</v>
      </c>
      <c r="BS290" s="104" t="s">
        <v>586</v>
      </c>
      <c r="BT290" s="55" t="s">
        <v>11</v>
      </c>
    </row>
    <row r="291" spans="1:73" s="3" customFormat="1" ht="92.25" customHeight="1" outlineLevel="1" x14ac:dyDescent="0.25">
      <c r="A291" s="106"/>
      <c r="B291" s="59">
        <v>19</v>
      </c>
      <c r="C291" s="104" t="s">
        <v>1500</v>
      </c>
      <c r="D291" s="104" t="s">
        <v>661</v>
      </c>
      <c r="E291" s="104" t="s">
        <v>9</v>
      </c>
      <c r="F291" s="104">
        <v>188847.94</v>
      </c>
      <c r="G291" s="104">
        <v>184375</v>
      </c>
      <c r="H291" s="26"/>
      <c r="I291" s="104">
        <f t="shared" si="409"/>
        <v>184375</v>
      </c>
      <c r="J291" s="104">
        <v>1</v>
      </c>
      <c r="K291" s="104">
        <v>1</v>
      </c>
      <c r="L291" s="104"/>
      <c r="M291" s="104">
        <v>88848</v>
      </c>
      <c r="N291" s="104">
        <f t="shared" si="415"/>
        <v>95526.666666666672</v>
      </c>
      <c r="O291" s="104">
        <v>85974</v>
      </c>
      <c r="P291" s="104">
        <v>1</v>
      </c>
      <c r="Q291" s="26">
        <v>85974</v>
      </c>
      <c r="R291" s="104">
        <v>1</v>
      </c>
      <c r="S291" s="104">
        <f t="shared" si="421"/>
        <v>0</v>
      </c>
      <c r="T291" s="104"/>
      <c r="U291" s="26">
        <f t="shared" si="410"/>
        <v>85974</v>
      </c>
      <c r="V291" s="113">
        <f t="shared" si="410"/>
        <v>1</v>
      </c>
      <c r="W291" s="113">
        <v>85974</v>
      </c>
      <c r="X291" s="113">
        <f t="shared" si="411"/>
        <v>1</v>
      </c>
      <c r="Y291" s="113"/>
      <c r="Z291" s="113">
        <f t="shared" si="412"/>
        <v>0</v>
      </c>
      <c r="AA291" s="118">
        <v>0</v>
      </c>
      <c r="AB291" s="122"/>
      <c r="AC291" s="26">
        <f t="shared" si="420"/>
        <v>85974</v>
      </c>
      <c r="AD291" s="104">
        <f t="shared" si="420"/>
        <v>1</v>
      </c>
      <c r="AE291" s="104">
        <v>85974</v>
      </c>
      <c r="AF291" s="104">
        <f t="shared" si="413"/>
        <v>1</v>
      </c>
      <c r="AG291" s="104"/>
      <c r="AH291" s="104">
        <f t="shared" si="414"/>
        <v>0</v>
      </c>
      <c r="AI291" s="104">
        <f t="shared" si="416"/>
        <v>9552.6666666666679</v>
      </c>
      <c r="AJ291" s="104">
        <v>1</v>
      </c>
      <c r="AK291" s="104"/>
      <c r="AL291" s="104">
        <v>0</v>
      </c>
      <c r="AM291" s="104">
        <v>0</v>
      </c>
      <c r="AN291" s="104">
        <f t="shared" si="422"/>
        <v>0</v>
      </c>
      <c r="AO291" s="104"/>
      <c r="AP291" s="113">
        <f t="shared" si="417"/>
        <v>0</v>
      </c>
      <c r="AQ291" s="113"/>
      <c r="AR291" s="34">
        <f t="shared" si="419"/>
        <v>0</v>
      </c>
      <c r="AS291" s="10">
        <f t="shared" si="419"/>
        <v>0</v>
      </c>
      <c r="AT291" s="10">
        <v>0</v>
      </c>
      <c r="AU291" s="10">
        <f t="shared" si="392"/>
        <v>0</v>
      </c>
      <c r="AV291" s="10"/>
      <c r="AW291" s="10">
        <f t="shared" si="393"/>
        <v>0</v>
      </c>
      <c r="AX291" s="10">
        <f t="shared" si="418"/>
        <v>0</v>
      </c>
      <c r="AY291" s="10"/>
      <c r="AZ291" s="10"/>
      <c r="BA291" s="10">
        <v>0</v>
      </c>
      <c r="BB291" s="10">
        <v>0</v>
      </c>
      <c r="BC291" s="10">
        <f t="shared" si="423"/>
        <v>0</v>
      </c>
      <c r="BD291" s="10"/>
      <c r="BE291" s="26">
        <f t="shared" si="388"/>
        <v>0</v>
      </c>
      <c r="BF291" s="104">
        <f t="shared" si="388"/>
        <v>0</v>
      </c>
      <c r="BG291" s="104"/>
      <c r="BH291" s="104">
        <f t="shared" si="389"/>
        <v>0</v>
      </c>
      <c r="BI291" s="104"/>
      <c r="BJ291" s="104">
        <f t="shared" si="390"/>
        <v>0</v>
      </c>
      <c r="BK291" s="104"/>
      <c r="BL291" s="104"/>
      <c r="BM291" s="104"/>
      <c r="BN291" s="104" t="s">
        <v>662</v>
      </c>
      <c r="BO291" s="104" t="s">
        <v>1698</v>
      </c>
      <c r="BP291" s="104" t="s">
        <v>663</v>
      </c>
      <c r="BQ291" s="104" t="s">
        <v>626</v>
      </c>
      <c r="BR291" s="104" t="s">
        <v>573</v>
      </c>
      <c r="BS291" s="104" t="s">
        <v>586</v>
      </c>
      <c r="BT291" s="55" t="s">
        <v>11</v>
      </c>
    </row>
    <row r="292" spans="1:73" s="3" customFormat="1" ht="72.75" customHeight="1" outlineLevel="1" x14ac:dyDescent="0.25">
      <c r="A292" s="106"/>
      <c r="B292" s="59">
        <v>20</v>
      </c>
      <c r="C292" s="104" t="s">
        <v>1322</v>
      </c>
      <c r="D292" s="104" t="s">
        <v>665</v>
      </c>
      <c r="E292" s="104" t="s">
        <v>9</v>
      </c>
      <c r="F292" s="104">
        <v>158319.45000000001</v>
      </c>
      <c r="G292" s="104">
        <v>154480</v>
      </c>
      <c r="H292" s="26"/>
      <c r="I292" s="104">
        <f t="shared" si="409"/>
        <v>154480</v>
      </c>
      <c r="J292" s="104">
        <v>1</v>
      </c>
      <c r="K292" s="104">
        <v>1</v>
      </c>
      <c r="L292" s="104"/>
      <c r="M292" s="104">
        <v>78319</v>
      </c>
      <c r="N292" s="104">
        <f t="shared" si="415"/>
        <v>76161.111111111109</v>
      </c>
      <c r="O292" s="104">
        <v>68545</v>
      </c>
      <c r="P292" s="104">
        <v>1</v>
      </c>
      <c r="Q292" s="26">
        <v>68545</v>
      </c>
      <c r="R292" s="104">
        <v>1</v>
      </c>
      <c r="S292" s="104">
        <f t="shared" si="421"/>
        <v>0</v>
      </c>
      <c r="T292" s="104"/>
      <c r="U292" s="26">
        <f t="shared" si="410"/>
        <v>68545</v>
      </c>
      <c r="V292" s="113">
        <f t="shared" si="410"/>
        <v>1</v>
      </c>
      <c r="W292" s="113">
        <v>68545</v>
      </c>
      <c r="X292" s="113">
        <f t="shared" si="411"/>
        <v>1</v>
      </c>
      <c r="Y292" s="113"/>
      <c r="Z292" s="113">
        <f t="shared" si="412"/>
        <v>0</v>
      </c>
      <c r="AA292" s="118">
        <v>0</v>
      </c>
      <c r="AB292" s="122"/>
      <c r="AC292" s="26">
        <f t="shared" si="420"/>
        <v>68545</v>
      </c>
      <c r="AD292" s="104">
        <f t="shared" si="420"/>
        <v>1</v>
      </c>
      <c r="AE292" s="104">
        <v>68545</v>
      </c>
      <c r="AF292" s="104">
        <f t="shared" si="413"/>
        <v>1</v>
      </c>
      <c r="AG292" s="104"/>
      <c r="AH292" s="104">
        <f t="shared" si="414"/>
        <v>0</v>
      </c>
      <c r="AI292" s="104">
        <f t="shared" si="416"/>
        <v>7616.1111111111113</v>
      </c>
      <c r="AJ292" s="104">
        <v>1</v>
      </c>
      <c r="AK292" s="104"/>
      <c r="AL292" s="104">
        <v>0</v>
      </c>
      <c r="AM292" s="104">
        <v>0</v>
      </c>
      <c r="AN292" s="104">
        <f t="shared" si="422"/>
        <v>0</v>
      </c>
      <c r="AO292" s="104"/>
      <c r="AP292" s="113">
        <f t="shared" si="417"/>
        <v>0</v>
      </c>
      <c r="AQ292" s="113"/>
      <c r="AR292" s="34">
        <f t="shared" si="419"/>
        <v>0</v>
      </c>
      <c r="AS292" s="10">
        <f t="shared" si="419"/>
        <v>0</v>
      </c>
      <c r="AT292" s="10">
        <v>0</v>
      </c>
      <c r="AU292" s="10">
        <f t="shared" si="392"/>
        <v>0</v>
      </c>
      <c r="AV292" s="10"/>
      <c r="AW292" s="10">
        <f t="shared" si="393"/>
        <v>0</v>
      </c>
      <c r="AX292" s="10">
        <f t="shared" si="418"/>
        <v>0</v>
      </c>
      <c r="AY292" s="10"/>
      <c r="AZ292" s="10"/>
      <c r="BA292" s="10">
        <v>0</v>
      </c>
      <c r="BB292" s="10">
        <v>0</v>
      </c>
      <c r="BC292" s="10">
        <f t="shared" si="423"/>
        <v>0</v>
      </c>
      <c r="BD292" s="10"/>
      <c r="BE292" s="26">
        <f t="shared" si="388"/>
        <v>0</v>
      </c>
      <c r="BF292" s="104">
        <f t="shared" si="388"/>
        <v>0</v>
      </c>
      <c r="BG292" s="104"/>
      <c r="BH292" s="104">
        <f t="shared" si="389"/>
        <v>0</v>
      </c>
      <c r="BI292" s="104"/>
      <c r="BJ292" s="104">
        <f t="shared" si="390"/>
        <v>0</v>
      </c>
      <c r="BK292" s="104"/>
      <c r="BL292" s="104"/>
      <c r="BM292" s="104"/>
      <c r="BN292" s="104" t="s">
        <v>664</v>
      </c>
      <c r="BO292" s="104" t="s">
        <v>1698</v>
      </c>
      <c r="BP292" s="104" t="s">
        <v>666</v>
      </c>
      <c r="BQ292" s="104" t="s">
        <v>660</v>
      </c>
      <c r="BR292" s="104" t="s">
        <v>573</v>
      </c>
      <c r="BS292" s="104" t="s">
        <v>575</v>
      </c>
      <c r="BT292" s="55" t="s">
        <v>11</v>
      </c>
    </row>
    <row r="293" spans="1:73" s="3" customFormat="1" ht="72" customHeight="1" outlineLevel="1" x14ac:dyDescent="0.25">
      <c r="A293" s="106"/>
      <c r="B293" s="59">
        <v>21</v>
      </c>
      <c r="C293" s="104" t="s">
        <v>1323</v>
      </c>
      <c r="D293" s="104" t="s">
        <v>668</v>
      </c>
      <c r="E293" s="104" t="s">
        <v>9</v>
      </c>
      <c r="F293" s="104">
        <v>198538.78</v>
      </c>
      <c r="G293" s="104">
        <v>193923</v>
      </c>
      <c r="H293" s="26"/>
      <c r="I293" s="104">
        <f t="shared" si="409"/>
        <v>193923</v>
      </c>
      <c r="J293" s="104">
        <v>1</v>
      </c>
      <c r="K293" s="104">
        <v>1</v>
      </c>
      <c r="L293" s="104"/>
      <c r="M293" s="104">
        <v>98539</v>
      </c>
      <c r="N293" s="104">
        <f t="shared" si="415"/>
        <v>95384.444444444438</v>
      </c>
      <c r="O293" s="104">
        <v>85846</v>
      </c>
      <c r="P293" s="104">
        <v>1</v>
      </c>
      <c r="Q293" s="26">
        <v>85846</v>
      </c>
      <c r="R293" s="104">
        <v>1</v>
      </c>
      <c r="S293" s="104">
        <f t="shared" si="421"/>
        <v>0</v>
      </c>
      <c r="T293" s="104"/>
      <c r="U293" s="26">
        <f t="shared" si="410"/>
        <v>85846</v>
      </c>
      <c r="V293" s="113">
        <f t="shared" si="410"/>
        <v>1</v>
      </c>
      <c r="W293" s="113">
        <v>85846</v>
      </c>
      <c r="X293" s="113">
        <f t="shared" si="411"/>
        <v>1</v>
      </c>
      <c r="Y293" s="113"/>
      <c r="Z293" s="113">
        <f t="shared" si="412"/>
        <v>0</v>
      </c>
      <c r="AA293" s="118">
        <v>0</v>
      </c>
      <c r="AB293" s="122"/>
      <c r="AC293" s="26">
        <f t="shared" si="420"/>
        <v>85846</v>
      </c>
      <c r="AD293" s="104">
        <f t="shared" si="420"/>
        <v>1</v>
      </c>
      <c r="AE293" s="104">
        <v>85846</v>
      </c>
      <c r="AF293" s="104">
        <f t="shared" si="413"/>
        <v>1</v>
      </c>
      <c r="AG293" s="104"/>
      <c r="AH293" s="104">
        <f t="shared" si="414"/>
        <v>0</v>
      </c>
      <c r="AI293" s="104">
        <f t="shared" si="416"/>
        <v>9538.4444444444434</v>
      </c>
      <c r="AJ293" s="104">
        <v>1</v>
      </c>
      <c r="AK293" s="104"/>
      <c r="AL293" s="104">
        <v>0</v>
      </c>
      <c r="AM293" s="104">
        <v>0</v>
      </c>
      <c r="AN293" s="104">
        <f t="shared" si="422"/>
        <v>0</v>
      </c>
      <c r="AO293" s="104"/>
      <c r="AP293" s="113">
        <f t="shared" si="417"/>
        <v>0</v>
      </c>
      <c r="AQ293" s="113"/>
      <c r="AR293" s="34">
        <f t="shared" si="419"/>
        <v>0</v>
      </c>
      <c r="AS293" s="10">
        <f t="shared" si="419"/>
        <v>0</v>
      </c>
      <c r="AT293" s="10">
        <v>0</v>
      </c>
      <c r="AU293" s="10">
        <f t="shared" si="392"/>
        <v>0</v>
      </c>
      <c r="AV293" s="10"/>
      <c r="AW293" s="10">
        <f t="shared" si="393"/>
        <v>0</v>
      </c>
      <c r="AX293" s="10">
        <f t="shared" si="418"/>
        <v>0</v>
      </c>
      <c r="AY293" s="10"/>
      <c r="AZ293" s="10"/>
      <c r="BA293" s="10">
        <v>0</v>
      </c>
      <c r="BB293" s="10">
        <v>0</v>
      </c>
      <c r="BC293" s="10">
        <f t="shared" si="423"/>
        <v>0</v>
      </c>
      <c r="BD293" s="10"/>
      <c r="BE293" s="26">
        <f t="shared" si="388"/>
        <v>0</v>
      </c>
      <c r="BF293" s="104">
        <f t="shared" si="388"/>
        <v>0</v>
      </c>
      <c r="BG293" s="104"/>
      <c r="BH293" s="104">
        <f t="shared" si="389"/>
        <v>0</v>
      </c>
      <c r="BI293" s="104"/>
      <c r="BJ293" s="104">
        <f t="shared" si="390"/>
        <v>0</v>
      </c>
      <c r="BK293" s="104"/>
      <c r="BL293" s="104"/>
      <c r="BM293" s="104"/>
      <c r="BN293" s="104" t="s">
        <v>667</v>
      </c>
      <c r="BO293" s="104" t="s">
        <v>1698</v>
      </c>
      <c r="BP293" s="104" t="s">
        <v>669</v>
      </c>
      <c r="BQ293" s="104" t="s">
        <v>640</v>
      </c>
      <c r="BR293" s="104" t="s">
        <v>573</v>
      </c>
      <c r="BS293" s="104" t="s">
        <v>586</v>
      </c>
      <c r="BT293" s="55" t="s">
        <v>11</v>
      </c>
    </row>
    <row r="294" spans="1:73" s="3" customFormat="1" ht="85.5" customHeight="1" outlineLevel="1" x14ac:dyDescent="0.25">
      <c r="A294" s="106"/>
      <c r="B294" s="59">
        <v>22</v>
      </c>
      <c r="C294" s="104" t="s">
        <v>1324</v>
      </c>
      <c r="D294" s="104" t="s">
        <v>671</v>
      </c>
      <c r="E294" s="104" t="s">
        <v>9</v>
      </c>
      <c r="F294" s="104">
        <v>214390</v>
      </c>
      <c r="G294" s="104">
        <v>210032</v>
      </c>
      <c r="H294" s="26"/>
      <c r="I294" s="104">
        <f t="shared" si="409"/>
        <v>210032</v>
      </c>
      <c r="J294" s="104">
        <v>1</v>
      </c>
      <c r="K294" s="104">
        <v>1</v>
      </c>
      <c r="L294" s="104"/>
      <c r="M294" s="104">
        <v>100000</v>
      </c>
      <c r="N294" s="104">
        <f t="shared" si="415"/>
        <v>110032.22222222222</v>
      </c>
      <c r="O294" s="104">
        <v>99029</v>
      </c>
      <c r="P294" s="104">
        <v>1</v>
      </c>
      <c r="Q294" s="26">
        <v>99029</v>
      </c>
      <c r="R294" s="104">
        <v>1</v>
      </c>
      <c r="S294" s="104">
        <f t="shared" si="421"/>
        <v>0</v>
      </c>
      <c r="T294" s="104"/>
      <c r="U294" s="26">
        <f t="shared" si="410"/>
        <v>99029</v>
      </c>
      <c r="V294" s="113">
        <f t="shared" si="410"/>
        <v>1</v>
      </c>
      <c r="W294" s="113">
        <v>99029</v>
      </c>
      <c r="X294" s="113">
        <f t="shared" si="411"/>
        <v>1</v>
      </c>
      <c r="Y294" s="113"/>
      <c r="Z294" s="113">
        <f t="shared" si="412"/>
        <v>0</v>
      </c>
      <c r="AA294" s="118">
        <v>0</v>
      </c>
      <c r="AB294" s="122"/>
      <c r="AC294" s="26">
        <f t="shared" si="420"/>
        <v>99029</v>
      </c>
      <c r="AD294" s="104">
        <f t="shared" si="420"/>
        <v>1</v>
      </c>
      <c r="AE294" s="104">
        <v>99029</v>
      </c>
      <c r="AF294" s="104">
        <f t="shared" si="413"/>
        <v>1</v>
      </c>
      <c r="AG294" s="104"/>
      <c r="AH294" s="104">
        <f t="shared" si="414"/>
        <v>0</v>
      </c>
      <c r="AI294" s="104">
        <f t="shared" si="416"/>
        <v>11003.222222222223</v>
      </c>
      <c r="AJ294" s="104">
        <v>1</v>
      </c>
      <c r="AK294" s="104"/>
      <c r="AL294" s="104">
        <v>0</v>
      </c>
      <c r="AM294" s="104">
        <v>0</v>
      </c>
      <c r="AN294" s="104">
        <f t="shared" si="422"/>
        <v>0</v>
      </c>
      <c r="AO294" s="104"/>
      <c r="AP294" s="113">
        <f t="shared" si="417"/>
        <v>0</v>
      </c>
      <c r="AQ294" s="113"/>
      <c r="AR294" s="34">
        <f t="shared" si="419"/>
        <v>0</v>
      </c>
      <c r="AS294" s="10">
        <f t="shared" si="419"/>
        <v>0</v>
      </c>
      <c r="AT294" s="10">
        <v>0</v>
      </c>
      <c r="AU294" s="10">
        <f t="shared" si="392"/>
        <v>0</v>
      </c>
      <c r="AV294" s="10"/>
      <c r="AW294" s="10">
        <f t="shared" si="393"/>
        <v>0</v>
      </c>
      <c r="AX294" s="10">
        <f t="shared" si="418"/>
        <v>0</v>
      </c>
      <c r="AY294" s="10"/>
      <c r="AZ294" s="10"/>
      <c r="BA294" s="10">
        <v>0</v>
      </c>
      <c r="BB294" s="10">
        <v>0</v>
      </c>
      <c r="BC294" s="10">
        <f t="shared" si="423"/>
        <v>0</v>
      </c>
      <c r="BD294" s="10"/>
      <c r="BE294" s="26">
        <f t="shared" si="388"/>
        <v>0</v>
      </c>
      <c r="BF294" s="104">
        <f t="shared" si="388"/>
        <v>0</v>
      </c>
      <c r="BG294" s="104"/>
      <c r="BH294" s="104">
        <f t="shared" si="389"/>
        <v>0</v>
      </c>
      <c r="BI294" s="104"/>
      <c r="BJ294" s="104">
        <f t="shared" si="390"/>
        <v>0</v>
      </c>
      <c r="BK294" s="104"/>
      <c r="BL294" s="104"/>
      <c r="BM294" s="104"/>
      <c r="BN294" s="104" t="s">
        <v>670</v>
      </c>
      <c r="BO294" s="104" t="s">
        <v>1699</v>
      </c>
      <c r="BP294" s="104" t="s">
        <v>672</v>
      </c>
      <c r="BQ294" s="104" t="s">
        <v>673</v>
      </c>
      <c r="BR294" s="104" t="s">
        <v>630</v>
      </c>
      <c r="BS294" s="104" t="s">
        <v>586</v>
      </c>
      <c r="BT294" s="55" t="s">
        <v>11</v>
      </c>
    </row>
    <row r="295" spans="1:73" s="3" customFormat="1" ht="69" customHeight="1" outlineLevel="1" x14ac:dyDescent="0.25">
      <c r="A295" s="106"/>
      <c r="B295" s="59">
        <v>23</v>
      </c>
      <c r="C295" s="104" t="s">
        <v>1325</v>
      </c>
      <c r="D295" s="104" t="s">
        <v>681</v>
      </c>
      <c r="E295" s="104" t="s">
        <v>9</v>
      </c>
      <c r="F295" s="104">
        <v>119285.90700000001</v>
      </c>
      <c r="G295" s="104">
        <v>111593</v>
      </c>
      <c r="H295" s="104">
        <v>93168</v>
      </c>
      <c r="I295" s="104">
        <f t="shared" si="409"/>
        <v>18425</v>
      </c>
      <c r="J295" s="104">
        <v>1</v>
      </c>
      <c r="K295" s="104">
        <v>1</v>
      </c>
      <c r="L295" s="104"/>
      <c r="M295" s="104">
        <v>44338</v>
      </c>
      <c r="N295" s="104">
        <f t="shared" si="415"/>
        <v>61592.222222222219</v>
      </c>
      <c r="O295" s="104">
        <v>55433</v>
      </c>
      <c r="P295" s="104">
        <v>1</v>
      </c>
      <c r="Q295" s="26">
        <v>55433</v>
      </c>
      <c r="R295" s="104">
        <v>1</v>
      </c>
      <c r="S295" s="104">
        <f t="shared" si="421"/>
        <v>0</v>
      </c>
      <c r="T295" s="104"/>
      <c r="U295" s="26">
        <f t="shared" si="410"/>
        <v>55433</v>
      </c>
      <c r="V295" s="113">
        <f t="shared" si="410"/>
        <v>1</v>
      </c>
      <c r="W295" s="113">
        <v>55433</v>
      </c>
      <c r="X295" s="113">
        <f t="shared" si="411"/>
        <v>1</v>
      </c>
      <c r="Y295" s="113"/>
      <c r="Z295" s="113">
        <f t="shared" si="412"/>
        <v>0</v>
      </c>
      <c r="AA295" s="118">
        <v>0</v>
      </c>
      <c r="AB295" s="122"/>
      <c r="AC295" s="26">
        <f t="shared" si="420"/>
        <v>55433</v>
      </c>
      <c r="AD295" s="104">
        <f t="shared" si="420"/>
        <v>1</v>
      </c>
      <c r="AE295" s="104">
        <v>55433</v>
      </c>
      <c r="AF295" s="104">
        <f t="shared" si="413"/>
        <v>1</v>
      </c>
      <c r="AG295" s="104"/>
      <c r="AH295" s="104">
        <f t="shared" si="414"/>
        <v>0</v>
      </c>
      <c r="AI295" s="104">
        <f t="shared" si="416"/>
        <v>6159.2222222222226</v>
      </c>
      <c r="AJ295" s="104">
        <v>1</v>
      </c>
      <c r="AK295" s="104"/>
      <c r="AL295" s="104">
        <v>0</v>
      </c>
      <c r="AM295" s="104">
        <v>0</v>
      </c>
      <c r="AN295" s="104">
        <f t="shared" si="422"/>
        <v>0</v>
      </c>
      <c r="AO295" s="104"/>
      <c r="AP295" s="113">
        <f t="shared" si="417"/>
        <v>0</v>
      </c>
      <c r="AQ295" s="113"/>
      <c r="AR295" s="34">
        <f t="shared" si="419"/>
        <v>0</v>
      </c>
      <c r="AS295" s="10">
        <f t="shared" si="419"/>
        <v>0</v>
      </c>
      <c r="AT295" s="10">
        <v>0</v>
      </c>
      <c r="AU295" s="10">
        <f t="shared" si="392"/>
        <v>0</v>
      </c>
      <c r="AV295" s="10"/>
      <c r="AW295" s="10">
        <f t="shared" si="393"/>
        <v>0</v>
      </c>
      <c r="AX295" s="10">
        <f t="shared" si="418"/>
        <v>0</v>
      </c>
      <c r="AY295" s="10"/>
      <c r="AZ295" s="10"/>
      <c r="BA295" s="10">
        <v>0</v>
      </c>
      <c r="BB295" s="10">
        <v>0</v>
      </c>
      <c r="BC295" s="10">
        <f t="shared" si="423"/>
        <v>0</v>
      </c>
      <c r="BD295" s="10"/>
      <c r="BE295" s="26">
        <f t="shared" si="388"/>
        <v>0</v>
      </c>
      <c r="BF295" s="104">
        <f t="shared" si="388"/>
        <v>0</v>
      </c>
      <c r="BG295" s="104"/>
      <c r="BH295" s="104">
        <f t="shared" si="389"/>
        <v>0</v>
      </c>
      <c r="BI295" s="104"/>
      <c r="BJ295" s="104">
        <f t="shared" si="390"/>
        <v>0</v>
      </c>
      <c r="BK295" s="104"/>
      <c r="BL295" s="104"/>
      <c r="BM295" s="104"/>
      <c r="BN295" s="104" t="s">
        <v>680</v>
      </c>
      <c r="BO295" s="104" t="s">
        <v>1700</v>
      </c>
      <c r="BP295" s="104" t="s">
        <v>682</v>
      </c>
      <c r="BQ295" s="104" t="s">
        <v>594</v>
      </c>
      <c r="BR295" s="104" t="s">
        <v>583</v>
      </c>
      <c r="BS295" s="104" t="s">
        <v>575</v>
      </c>
      <c r="BT295" s="55" t="s">
        <v>11</v>
      </c>
    </row>
    <row r="296" spans="1:73" s="3" customFormat="1" ht="80.25" customHeight="1" outlineLevel="1" x14ac:dyDescent="0.25">
      <c r="A296" s="106"/>
      <c r="B296" s="59">
        <v>24</v>
      </c>
      <c r="C296" s="104" t="s">
        <v>1326</v>
      </c>
      <c r="D296" s="104" t="s">
        <v>683</v>
      </c>
      <c r="E296" s="104" t="s">
        <v>9</v>
      </c>
      <c r="F296" s="104">
        <v>148105.04999999999</v>
      </c>
      <c r="G296" s="104">
        <v>139769.696</v>
      </c>
      <c r="H296" s="104">
        <v>136450</v>
      </c>
      <c r="I296" s="104">
        <f t="shared" si="409"/>
        <v>3319.6959999999963</v>
      </c>
      <c r="J296" s="104">
        <v>1</v>
      </c>
      <c r="K296" s="104">
        <v>1</v>
      </c>
      <c r="L296" s="104"/>
      <c r="M296" s="104">
        <v>70000</v>
      </c>
      <c r="N296" s="104">
        <f t="shared" si="415"/>
        <v>66450</v>
      </c>
      <c r="O296" s="104">
        <v>62793</v>
      </c>
      <c r="P296" s="104">
        <v>1</v>
      </c>
      <c r="Q296" s="26">
        <v>62793</v>
      </c>
      <c r="R296" s="104">
        <v>1</v>
      </c>
      <c r="S296" s="104">
        <f t="shared" si="421"/>
        <v>2988</v>
      </c>
      <c r="T296" s="104"/>
      <c r="U296" s="26">
        <f t="shared" si="410"/>
        <v>59805</v>
      </c>
      <c r="V296" s="113">
        <f t="shared" si="410"/>
        <v>1</v>
      </c>
      <c r="W296" s="113">
        <v>59805</v>
      </c>
      <c r="X296" s="113">
        <f t="shared" si="411"/>
        <v>1</v>
      </c>
      <c r="Y296" s="113"/>
      <c r="Z296" s="113">
        <f t="shared" si="412"/>
        <v>0</v>
      </c>
      <c r="AA296" s="118">
        <v>0</v>
      </c>
      <c r="AB296" s="122"/>
      <c r="AC296" s="26">
        <f t="shared" si="420"/>
        <v>59805</v>
      </c>
      <c r="AD296" s="104">
        <f t="shared" si="420"/>
        <v>1</v>
      </c>
      <c r="AE296" s="104">
        <v>59805</v>
      </c>
      <c r="AF296" s="104">
        <f t="shared" si="413"/>
        <v>1</v>
      </c>
      <c r="AG296" s="104"/>
      <c r="AH296" s="104">
        <f t="shared" si="414"/>
        <v>0</v>
      </c>
      <c r="AI296" s="104">
        <f t="shared" si="416"/>
        <v>6645</v>
      </c>
      <c r="AJ296" s="104">
        <v>1</v>
      </c>
      <c r="AK296" s="104"/>
      <c r="AL296" s="104">
        <v>0</v>
      </c>
      <c r="AM296" s="104">
        <v>0</v>
      </c>
      <c r="AN296" s="104">
        <f t="shared" si="422"/>
        <v>0</v>
      </c>
      <c r="AO296" s="104"/>
      <c r="AP296" s="113">
        <f t="shared" si="417"/>
        <v>0</v>
      </c>
      <c r="AQ296" s="113"/>
      <c r="AR296" s="34">
        <f t="shared" si="419"/>
        <v>0</v>
      </c>
      <c r="AS296" s="10">
        <f t="shared" si="419"/>
        <v>0</v>
      </c>
      <c r="AT296" s="10">
        <v>0</v>
      </c>
      <c r="AU296" s="10">
        <f t="shared" si="392"/>
        <v>0</v>
      </c>
      <c r="AV296" s="10"/>
      <c r="AW296" s="10">
        <f t="shared" si="393"/>
        <v>0</v>
      </c>
      <c r="AX296" s="10">
        <f t="shared" si="418"/>
        <v>0</v>
      </c>
      <c r="AY296" s="10"/>
      <c r="AZ296" s="10"/>
      <c r="BA296" s="10">
        <v>0</v>
      </c>
      <c r="BB296" s="10">
        <v>0</v>
      </c>
      <c r="BC296" s="10">
        <f t="shared" si="423"/>
        <v>0</v>
      </c>
      <c r="BD296" s="10"/>
      <c r="BE296" s="26">
        <f t="shared" si="388"/>
        <v>0</v>
      </c>
      <c r="BF296" s="104">
        <f t="shared" si="388"/>
        <v>0</v>
      </c>
      <c r="BG296" s="104"/>
      <c r="BH296" s="104">
        <f t="shared" si="389"/>
        <v>0</v>
      </c>
      <c r="BI296" s="104"/>
      <c r="BJ296" s="104">
        <f t="shared" si="390"/>
        <v>0</v>
      </c>
      <c r="BK296" s="104"/>
      <c r="BL296" s="104"/>
      <c r="BM296" s="104"/>
      <c r="BN296" s="104" t="s">
        <v>684</v>
      </c>
      <c r="BO296" s="104" t="s">
        <v>1700</v>
      </c>
      <c r="BP296" s="104" t="s">
        <v>685</v>
      </c>
      <c r="BQ296" s="104" t="s">
        <v>605</v>
      </c>
      <c r="BR296" s="104" t="s">
        <v>609</v>
      </c>
      <c r="BS296" s="104" t="s">
        <v>586</v>
      </c>
      <c r="BT296" s="55" t="s">
        <v>11</v>
      </c>
    </row>
    <row r="297" spans="1:73" s="3" customFormat="1" ht="87" customHeight="1" outlineLevel="1" x14ac:dyDescent="0.25">
      <c r="A297" s="106"/>
      <c r="B297" s="59">
        <v>25</v>
      </c>
      <c r="C297" s="104" t="s">
        <v>1327</v>
      </c>
      <c r="D297" s="104" t="s">
        <v>711</v>
      </c>
      <c r="E297" s="104" t="s">
        <v>9</v>
      </c>
      <c r="F297" s="104">
        <v>108589</v>
      </c>
      <c r="G297" s="104">
        <v>102507</v>
      </c>
      <c r="H297" s="104">
        <v>101535</v>
      </c>
      <c r="I297" s="104">
        <f t="shared" si="409"/>
        <v>972</v>
      </c>
      <c r="J297" s="104">
        <v>1</v>
      </c>
      <c r="K297" s="104">
        <v>1</v>
      </c>
      <c r="L297" s="104"/>
      <c r="M297" s="104">
        <v>50000</v>
      </c>
      <c r="N297" s="104">
        <f t="shared" si="415"/>
        <v>51534.444444444445</v>
      </c>
      <c r="O297" s="104">
        <v>47256</v>
      </c>
      <c r="P297" s="104">
        <v>1</v>
      </c>
      <c r="Q297" s="26">
        <v>47256</v>
      </c>
      <c r="R297" s="104">
        <v>1</v>
      </c>
      <c r="S297" s="104">
        <f t="shared" si="421"/>
        <v>875</v>
      </c>
      <c r="T297" s="104"/>
      <c r="U297" s="26">
        <f t="shared" si="410"/>
        <v>46381</v>
      </c>
      <c r="V297" s="113">
        <f t="shared" si="410"/>
        <v>1</v>
      </c>
      <c r="W297" s="113">
        <v>46381</v>
      </c>
      <c r="X297" s="113">
        <f t="shared" si="411"/>
        <v>1</v>
      </c>
      <c r="Y297" s="113"/>
      <c r="Z297" s="113">
        <f t="shared" si="412"/>
        <v>0</v>
      </c>
      <c r="AA297" s="118">
        <v>0</v>
      </c>
      <c r="AB297" s="122"/>
      <c r="AC297" s="26">
        <f t="shared" si="420"/>
        <v>46381</v>
      </c>
      <c r="AD297" s="104">
        <f t="shared" si="420"/>
        <v>1</v>
      </c>
      <c r="AE297" s="104">
        <v>46381</v>
      </c>
      <c r="AF297" s="104">
        <f t="shared" si="413"/>
        <v>1</v>
      </c>
      <c r="AG297" s="104"/>
      <c r="AH297" s="104">
        <f t="shared" si="414"/>
        <v>0</v>
      </c>
      <c r="AI297" s="104">
        <f t="shared" si="416"/>
        <v>5153.4444444444453</v>
      </c>
      <c r="AJ297" s="104">
        <v>1</v>
      </c>
      <c r="AK297" s="104"/>
      <c r="AL297" s="104">
        <v>0</v>
      </c>
      <c r="AM297" s="104">
        <v>0</v>
      </c>
      <c r="AN297" s="104">
        <f t="shared" si="422"/>
        <v>0</v>
      </c>
      <c r="AO297" s="104"/>
      <c r="AP297" s="113">
        <f t="shared" si="417"/>
        <v>0</v>
      </c>
      <c r="AQ297" s="113"/>
      <c r="AR297" s="34">
        <f t="shared" si="419"/>
        <v>0</v>
      </c>
      <c r="AS297" s="10">
        <f t="shared" si="419"/>
        <v>0</v>
      </c>
      <c r="AT297" s="10">
        <v>0</v>
      </c>
      <c r="AU297" s="10">
        <f t="shared" si="392"/>
        <v>0</v>
      </c>
      <c r="AV297" s="10"/>
      <c r="AW297" s="10">
        <f t="shared" si="393"/>
        <v>0</v>
      </c>
      <c r="AX297" s="10">
        <f t="shared" si="418"/>
        <v>0</v>
      </c>
      <c r="AY297" s="10"/>
      <c r="AZ297" s="10"/>
      <c r="BA297" s="10">
        <v>0</v>
      </c>
      <c r="BB297" s="10">
        <v>0</v>
      </c>
      <c r="BC297" s="10">
        <f t="shared" si="423"/>
        <v>0</v>
      </c>
      <c r="BD297" s="10"/>
      <c r="BE297" s="26">
        <f t="shared" si="388"/>
        <v>0</v>
      </c>
      <c r="BF297" s="104">
        <f t="shared" si="388"/>
        <v>0</v>
      </c>
      <c r="BG297" s="104"/>
      <c r="BH297" s="104">
        <f t="shared" si="389"/>
        <v>0</v>
      </c>
      <c r="BI297" s="104"/>
      <c r="BJ297" s="104">
        <f t="shared" si="390"/>
        <v>0</v>
      </c>
      <c r="BK297" s="104"/>
      <c r="BL297" s="104"/>
      <c r="BM297" s="104"/>
      <c r="BN297" s="104" t="s">
        <v>710</v>
      </c>
      <c r="BO297" s="104" t="s">
        <v>1701</v>
      </c>
      <c r="BP297" s="104" t="s">
        <v>712</v>
      </c>
      <c r="BQ297" s="104" t="s">
        <v>706</v>
      </c>
      <c r="BR297" s="104" t="s">
        <v>614</v>
      </c>
      <c r="BS297" s="104" t="s">
        <v>575</v>
      </c>
      <c r="BT297" s="55" t="s">
        <v>11</v>
      </c>
      <c r="BU297" s="3" t="s">
        <v>1737</v>
      </c>
    </row>
    <row r="298" spans="1:73" s="3" customFormat="1" ht="72.75" customHeight="1" outlineLevel="1" x14ac:dyDescent="0.25">
      <c r="A298" s="106"/>
      <c r="B298" s="59">
        <v>26</v>
      </c>
      <c r="C298" s="104" t="s">
        <v>1501</v>
      </c>
      <c r="D298" s="104" t="s">
        <v>713</v>
      </c>
      <c r="E298" s="104" t="s">
        <v>9</v>
      </c>
      <c r="F298" s="104">
        <v>69768</v>
      </c>
      <c r="G298" s="104">
        <v>65464</v>
      </c>
      <c r="H298" s="104">
        <v>62619</v>
      </c>
      <c r="I298" s="104">
        <f t="shared" si="409"/>
        <v>2845</v>
      </c>
      <c r="J298" s="104">
        <v>1</v>
      </c>
      <c r="K298" s="104">
        <v>1</v>
      </c>
      <c r="L298" s="104"/>
      <c r="M298" s="104">
        <v>30000</v>
      </c>
      <c r="N298" s="104">
        <f t="shared" si="415"/>
        <v>32618.888888888891</v>
      </c>
      <c r="O298" s="104">
        <v>31918</v>
      </c>
      <c r="P298" s="104">
        <v>1</v>
      </c>
      <c r="Q298" s="26">
        <v>31918</v>
      </c>
      <c r="R298" s="104">
        <v>1</v>
      </c>
      <c r="S298" s="104">
        <f t="shared" si="421"/>
        <v>2561</v>
      </c>
      <c r="T298" s="104"/>
      <c r="U298" s="26">
        <f t="shared" si="410"/>
        <v>29357</v>
      </c>
      <c r="V298" s="113">
        <f t="shared" si="410"/>
        <v>1</v>
      </c>
      <c r="W298" s="113">
        <v>29357</v>
      </c>
      <c r="X298" s="113">
        <f t="shared" si="411"/>
        <v>1</v>
      </c>
      <c r="Y298" s="113"/>
      <c r="Z298" s="113">
        <f t="shared" si="412"/>
        <v>0</v>
      </c>
      <c r="AA298" s="118">
        <v>0</v>
      </c>
      <c r="AB298" s="122"/>
      <c r="AC298" s="26">
        <f t="shared" si="420"/>
        <v>29357</v>
      </c>
      <c r="AD298" s="104">
        <f t="shared" si="420"/>
        <v>1</v>
      </c>
      <c r="AE298" s="104">
        <v>29357</v>
      </c>
      <c r="AF298" s="104">
        <f t="shared" si="413"/>
        <v>1</v>
      </c>
      <c r="AG298" s="104"/>
      <c r="AH298" s="104">
        <f t="shared" si="414"/>
        <v>0</v>
      </c>
      <c r="AI298" s="104">
        <f t="shared" si="416"/>
        <v>3261.8888888888887</v>
      </c>
      <c r="AJ298" s="104">
        <v>1</v>
      </c>
      <c r="AK298" s="104"/>
      <c r="AL298" s="104">
        <v>0</v>
      </c>
      <c r="AM298" s="104">
        <v>0</v>
      </c>
      <c r="AN298" s="104">
        <f t="shared" si="422"/>
        <v>0</v>
      </c>
      <c r="AO298" s="104"/>
      <c r="AP298" s="113">
        <f t="shared" si="417"/>
        <v>0</v>
      </c>
      <c r="AQ298" s="113"/>
      <c r="AR298" s="34">
        <f t="shared" si="419"/>
        <v>0</v>
      </c>
      <c r="AS298" s="10">
        <f t="shared" si="419"/>
        <v>0</v>
      </c>
      <c r="AT298" s="10">
        <v>0</v>
      </c>
      <c r="AU298" s="10">
        <f t="shared" si="392"/>
        <v>0</v>
      </c>
      <c r="AV298" s="10"/>
      <c r="AW298" s="10">
        <f t="shared" si="393"/>
        <v>0</v>
      </c>
      <c r="AX298" s="10">
        <f t="shared" si="418"/>
        <v>0</v>
      </c>
      <c r="AY298" s="10"/>
      <c r="AZ298" s="10"/>
      <c r="BA298" s="10">
        <v>0</v>
      </c>
      <c r="BB298" s="10">
        <v>0</v>
      </c>
      <c r="BC298" s="10">
        <f t="shared" si="423"/>
        <v>0</v>
      </c>
      <c r="BD298" s="10"/>
      <c r="BE298" s="26">
        <f t="shared" si="388"/>
        <v>0</v>
      </c>
      <c r="BF298" s="104">
        <f t="shared" si="388"/>
        <v>0</v>
      </c>
      <c r="BG298" s="104"/>
      <c r="BH298" s="104">
        <f t="shared" si="389"/>
        <v>0</v>
      </c>
      <c r="BI298" s="104"/>
      <c r="BJ298" s="104">
        <f t="shared" si="390"/>
        <v>0</v>
      </c>
      <c r="BK298" s="104"/>
      <c r="BL298" s="104"/>
      <c r="BM298" s="104"/>
      <c r="BN298" s="104" t="s">
        <v>714</v>
      </c>
      <c r="BO298" s="104" t="s">
        <v>1701</v>
      </c>
      <c r="BP298" s="104" t="s">
        <v>715</v>
      </c>
      <c r="BQ298" s="104" t="s">
        <v>706</v>
      </c>
      <c r="BR298" s="104" t="s">
        <v>614</v>
      </c>
      <c r="BS298" s="104" t="s">
        <v>586</v>
      </c>
      <c r="BT298" s="55" t="s">
        <v>11</v>
      </c>
    </row>
    <row r="299" spans="1:73" s="3" customFormat="1" ht="95.25" customHeight="1" outlineLevel="1" x14ac:dyDescent="0.25">
      <c r="A299" s="106"/>
      <c r="B299" s="59">
        <v>27</v>
      </c>
      <c r="C299" s="104" t="s">
        <v>1333</v>
      </c>
      <c r="D299" s="104" t="s">
        <v>704</v>
      </c>
      <c r="E299" s="104" t="s">
        <v>9</v>
      </c>
      <c r="F299" s="104">
        <v>117301</v>
      </c>
      <c r="G299" s="104">
        <v>110192</v>
      </c>
      <c r="H299" s="104">
        <v>109129</v>
      </c>
      <c r="I299" s="104">
        <f t="shared" si="409"/>
        <v>1063</v>
      </c>
      <c r="J299" s="104">
        <v>1</v>
      </c>
      <c r="K299" s="104">
        <v>1</v>
      </c>
      <c r="L299" s="104"/>
      <c r="M299" s="104">
        <v>55000</v>
      </c>
      <c r="N299" s="104">
        <f t="shared" si="415"/>
        <v>54128.888888888891</v>
      </c>
      <c r="O299" s="104">
        <v>49673</v>
      </c>
      <c r="P299" s="104">
        <v>1</v>
      </c>
      <c r="Q299" s="26">
        <v>49673</v>
      </c>
      <c r="R299" s="104">
        <v>1</v>
      </c>
      <c r="S299" s="104">
        <f t="shared" si="421"/>
        <v>957</v>
      </c>
      <c r="T299" s="104"/>
      <c r="U299" s="26">
        <f t="shared" si="410"/>
        <v>48716</v>
      </c>
      <c r="V299" s="113">
        <f t="shared" si="410"/>
        <v>1</v>
      </c>
      <c r="W299" s="113">
        <v>48716</v>
      </c>
      <c r="X299" s="113">
        <f t="shared" si="411"/>
        <v>1</v>
      </c>
      <c r="Y299" s="113"/>
      <c r="Z299" s="113">
        <f t="shared" si="412"/>
        <v>0</v>
      </c>
      <c r="AA299" s="118">
        <v>0</v>
      </c>
      <c r="AB299" s="122"/>
      <c r="AC299" s="26">
        <f t="shared" si="420"/>
        <v>48716</v>
      </c>
      <c r="AD299" s="104">
        <f t="shared" si="420"/>
        <v>1</v>
      </c>
      <c r="AE299" s="104">
        <v>48716</v>
      </c>
      <c r="AF299" s="104">
        <f t="shared" si="413"/>
        <v>1</v>
      </c>
      <c r="AG299" s="104"/>
      <c r="AH299" s="104">
        <f t="shared" si="414"/>
        <v>0</v>
      </c>
      <c r="AI299" s="104">
        <f t="shared" si="416"/>
        <v>5412.8888888888896</v>
      </c>
      <c r="AJ299" s="104">
        <v>1</v>
      </c>
      <c r="AK299" s="104"/>
      <c r="AL299" s="104">
        <v>0</v>
      </c>
      <c r="AM299" s="104">
        <v>0</v>
      </c>
      <c r="AN299" s="104">
        <f t="shared" si="422"/>
        <v>0</v>
      </c>
      <c r="AO299" s="104"/>
      <c r="AP299" s="113">
        <f t="shared" si="417"/>
        <v>0</v>
      </c>
      <c r="AQ299" s="113"/>
      <c r="AR299" s="34">
        <f t="shared" si="419"/>
        <v>0</v>
      </c>
      <c r="AS299" s="10">
        <f t="shared" si="419"/>
        <v>0</v>
      </c>
      <c r="AT299" s="10">
        <v>0</v>
      </c>
      <c r="AU299" s="10">
        <f t="shared" si="392"/>
        <v>0</v>
      </c>
      <c r="AV299" s="10"/>
      <c r="AW299" s="10">
        <f t="shared" si="393"/>
        <v>0</v>
      </c>
      <c r="AX299" s="10">
        <f t="shared" si="418"/>
        <v>0</v>
      </c>
      <c r="AY299" s="10"/>
      <c r="AZ299" s="10"/>
      <c r="BA299" s="10">
        <v>0</v>
      </c>
      <c r="BB299" s="10">
        <v>0</v>
      </c>
      <c r="BC299" s="10">
        <f t="shared" si="423"/>
        <v>0</v>
      </c>
      <c r="BD299" s="10"/>
      <c r="BE299" s="26">
        <f t="shared" si="388"/>
        <v>0</v>
      </c>
      <c r="BF299" s="104">
        <f t="shared" si="388"/>
        <v>0</v>
      </c>
      <c r="BG299" s="104"/>
      <c r="BH299" s="104">
        <f t="shared" si="389"/>
        <v>0</v>
      </c>
      <c r="BI299" s="104"/>
      <c r="BJ299" s="104">
        <f t="shared" si="390"/>
        <v>0</v>
      </c>
      <c r="BK299" s="104"/>
      <c r="BL299" s="104"/>
      <c r="BM299" s="104"/>
      <c r="BN299" s="104" t="s">
        <v>703</v>
      </c>
      <c r="BO299" s="104" t="s">
        <v>1701</v>
      </c>
      <c r="BP299" s="104" t="s">
        <v>705</v>
      </c>
      <c r="BQ299" s="104" t="s">
        <v>706</v>
      </c>
      <c r="BR299" s="104" t="s">
        <v>614</v>
      </c>
      <c r="BS299" s="104" t="s">
        <v>586</v>
      </c>
      <c r="BT299" s="55" t="s">
        <v>11</v>
      </c>
    </row>
    <row r="300" spans="1:73" s="3" customFormat="1" ht="84.75" customHeight="1" outlineLevel="1" x14ac:dyDescent="0.25">
      <c r="A300" s="106"/>
      <c r="B300" s="59">
        <v>28</v>
      </c>
      <c r="C300" s="104" t="s">
        <v>1334</v>
      </c>
      <c r="D300" s="104" t="s">
        <v>708</v>
      </c>
      <c r="E300" s="104" t="s">
        <v>9</v>
      </c>
      <c r="F300" s="104">
        <v>132284</v>
      </c>
      <c r="G300" s="104">
        <v>126001</v>
      </c>
      <c r="H300" s="104">
        <v>124781</v>
      </c>
      <c r="I300" s="104">
        <f t="shared" si="409"/>
        <v>1220</v>
      </c>
      <c r="J300" s="104">
        <v>1</v>
      </c>
      <c r="K300" s="104">
        <v>1</v>
      </c>
      <c r="L300" s="104"/>
      <c r="M300" s="104">
        <v>60000</v>
      </c>
      <c r="N300" s="104">
        <f t="shared" si="415"/>
        <v>64781.111111111109</v>
      </c>
      <c r="O300" s="104">
        <v>59401</v>
      </c>
      <c r="P300" s="104">
        <v>1</v>
      </c>
      <c r="Q300" s="26">
        <v>59401</v>
      </c>
      <c r="R300" s="104">
        <v>1</v>
      </c>
      <c r="S300" s="104">
        <f t="shared" si="421"/>
        <v>1098</v>
      </c>
      <c r="T300" s="104"/>
      <c r="U300" s="26">
        <f t="shared" si="410"/>
        <v>43303</v>
      </c>
      <c r="V300" s="113">
        <f t="shared" si="410"/>
        <v>1</v>
      </c>
      <c r="W300" s="113">
        <v>43303</v>
      </c>
      <c r="X300" s="113">
        <f t="shared" si="411"/>
        <v>1</v>
      </c>
      <c r="Y300" s="113"/>
      <c r="Z300" s="113">
        <f t="shared" si="412"/>
        <v>0</v>
      </c>
      <c r="AA300" s="118"/>
      <c r="AB300" s="122">
        <v>15000</v>
      </c>
      <c r="AC300" s="26">
        <f t="shared" si="420"/>
        <v>58303</v>
      </c>
      <c r="AD300" s="104">
        <f t="shared" si="420"/>
        <v>1</v>
      </c>
      <c r="AE300" s="104">
        <f>43303+15000</f>
        <v>58303</v>
      </c>
      <c r="AF300" s="104">
        <f t="shared" si="413"/>
        <v>1</v>
      </c>
      <c r="AG300" s="104"/>
      <c r="AH300" s="104">
        <f t="shared" si="414"/>
        <v>0</v>
      </c>
      <c r="AI300" s="104">
        <f t="shared" si="416"/>
        <v>6478.1111111111113</v>
      </c>
      <c r="AJ300" s="104">
        <v>1</v>
      </c>
      <c r="AK300" s="104"/>
      <c r="AL300" s="104">
        <v>0</v>
      </c>
      <c r="AM300" s="104">
        <v>0</v>
      </c>
      <c r="AN300" s="104">
        <f t="shared" si="422"/>
        <v>-15000</v>
      </c>
      <c r="AO300" s="104"/>
      <c r="AP300" s="113">
        <f t="shared" si="417"/>
        <v>-15000</v>
      </c>
      <c r="AQ300" s="113"/>
      <c r="AR300" s="34">
        <f t="shared" si="419"/>
        <v>15000</v>
      </c>
      <c r="AS300" s="10">
        <f t="shared" si="419"/>
        <v>1</v>
      </c>
      <c r="AT300" s="10">
        <v>15000</v>
      </c>
      <c r="AU300" s="10">
        <f t="shared" si="392"/>
        <v>1</v>
      </c>
      <c r="AV300" s="10"/>
      <c r="AW300" s="10">
        <f t="shared" si="393"/>
        <v>0</v>
      </c>
      <c r="AX300" s="10">
        <f t="shared" si="418"/>
        <v>1666.666666666667</v>
      </c>
      <c r="AY300" s="10"/>
      <c r="AZ300" s="10"/>
      <c r="BA300" s="10">
        <v>0</v>
      </c>
      <c r="BB300" s="10">
        <v>0</v>
      </c>
      <c r="BC300" s="10">
        <f t="shared" si="423"/>
        <v>0</v>
      </c>
      <c r="BD300" s="10"/>
      <c r="BE300" s="26">
        <f t="shared" si="388"/>
        <v>0</v>
      </c>
      <c r="BF300" s="104">
        <f t="shared" si="388"/>
        <v>0</v>
      </c>
      <c r="BG300" s="104"/>
      <c r="BH300" s="104">
        <f t="shared" si="389"/>
        <v>0</v>
      </c>
      <c r="BI300" s="104"/>
      <c r="BJ300" s="104">
        <f t="shared" si="390"/>
        <v>0</v>
      </c>
      <c r="BK300" s="104"/>
      <c r="BL300" s="104"/>
      <c r="BM300" s="104"/>
      <c r="BN300" s="104" t="s">
        <v>707</v>
      </c>
      <c r="BO300" s="104" t="s">
        <v>1701</v>
      </c>
      <c r="BP300" s="104" t="s">
        <v>709</v>
      </c>
      <c r="BQ300" s="104" t="s">
        <v>706</v>
      </c>
      <c r="BR300" s="104" t="s">
        <v>614</v>
      </c>
      <c r="BS300" s="104" t="s">
        <v>586</v>
      </c>
      <c r="BT300" s="55" t="s">
        <v>11</v>
      </c>
    </row>
    <row r="301" spans="1:73" s="3" customFormat="1" ht="84" customHeight="1" outlineLevel="1" x14ac:dyDescent="0.25">
      <c r="A301" s="106"/>
      <c r="B301" s="59">
        <v>29</v>
      </c>
      <c r="C301" s="104" t="s">
        <v>1335</v>
      </c>
      <c r="D301" s="104" t="s">
        <v>699</v>
      </c>
      <c r="E301" s="104" t="s">
        <v>9</v>
      </c>
      <c r="F301" s="104">
        <v>129831.823</v>
      </c>
      <c r="G301" s="104">
        <v>123117</v>
      </c>
      <c r="H301" s="104">
        <v>121893</v>
      </c>
      <c r="I301" s="104">
        <f t="shared" si="409"/>
        <v>1224</v>
      </c>
      <c r="J301" s="104">
        <v>1</v>
      </c>
      <c r="K301" s="104">
        <v>1</v>
      </c>
      <c r="L301" s="104"/>
      <c r="M301" s="104">
        <v>45590</v>
      </c>
      <c r="N301" s="104">
        <f t="shared" si="415"/>
        <v>76303.333333333328</v>
      </c>
      <c r="O301" s="104">
        <v>69774</v>
      </c>
      <c r="P301" s="104">
        <v>1</v>
      </c>
      <c r="Q301" s="26">
        <v>69774</v>
      </c>
      <c r="R301" s="104">
        <v>1</v>
      </c>
      <c r="S301" s="104">
        <f t="shared" si="421"/>
        <v>1101</v>
      </c>
      <c r="T301" s="104"/>
      <c r="U301" s="26">
        <f t="shared" si="410"/>
        <v>68673</v>
      </c>
      <c r="V301" s="113">
        <f t="shared" si="410"/>
        <v>1</v>
      </c>
      <c r="W301" s="113">
        <v>68673</v>
      </c>
      <c r="X301" s="113">
        <f t="shared" si="411"/>
        <v>1</v>
      </c>
      <c r="Y301" s="113"/>
      <c r="Z301" s="113">
        <f t="shared" si="412"/>
        <v>0</v>
      </c>
      <c r="AA301" s="118">
        <v>0</v>
      </c>
      <c r="AB301" s="122"/>
      <c r="AC301" s="26">
        <f t="shared" si="420"/>
        <v>68673</v>
      </c>
      <c r="AD301" s="104">
        <f t="shared" si="420"/>
        <v>1</v>
      </c>
      <c r="AE301" s="104">
        <v>68673</v>
      </c>
      <c r="AF301" s="104">
        <f t="shared" si="413"/>
        <v>1</v>
      </c>
      <c r="AG301" s="104"/>
      <c r="AH301" s="104">
        <f t="shared" si="414"/>
        <v>0</v>
      </c>
      <c r="AI301" s="104">
        <f t="shared" si="416"/>
        <v>7630.333333333333</v>
      </c>
      <c r="AJ301" s="104">
        <v>1</v>
      </c>
      <c r="AK301" s="104"/>
      <c r="AL301" s="104">
        <v>0</v>
      </c>
      <c r="AM301" s="104">
        <v>0</v>
      </c>
      <c r="AN301" s="104">
        <f t="shared" si="422"/>
        <v>0</v>
      </c>
      <c r="AO301" s="104"/>
      <c r="AP301" s="113">
        <f t="shared" si="417"/>
        <v>0</v>
      </c>
      <c r="AQ301" s="113"/>
      <c r="AR301" s="34">
        <f t="shared" si="419"/>
        <v>0</v>
      </c>
      <c r="AS301" s="10">
        <f t="shared" si="419"/>
        <v>0</v>
      </c>
      <c r="AT301" s="10">
        <v>0</v>
      </c>
      <c r="AU301" s="10">
        <f t="shared" si="392"/>
        <v>0</v>
      </c>
      <c r="AV301" s="10"/>
      <c r="AW301" s="10">
        <f t="shared" si="393"/>
        <v>0</v>
      </c>
      <c r="AX301" s="10">
        <f t="shared" si="418"/>
        <v>0</v>
      </c>
      <c r="AY301" s="10"/>
      <c r="AZ301" s="10"/>
      <c r="BA301" s="10">
        <v>0</v>
      </c>
      <c r="BB301" s="10">
        <v>0</v>
      </c>
      <c r="BC301" s="10">
        <f t="shared" si="423"/>
        <v>0</v>
      </c>
      <c r="BD301" s="10"/>
      <c r="BE301" s="26">
        <f t="shared" si="388"/>
        <v>0</v>
      </c>
      <c r="BF301" s="104">
        <f t="shared" si="388"/>
        <v>0</v>
      </c>
      <c r="BG301" s="104"/>
      <c r="BH301" s="104">
        <f t="shared" si="389"/>
        <v>0</v>
      </c>
      <c r="BI301" s="104"/>
      <c r="BJ301" s="104">
        <f t="shared" si="390"/>
        <v>0</v>
      </c>
      <c r="BK301" s="104"/>
      <c r="BL301" s="104"/>
      <c r="BM301" s="104"/>
      <c r="BN301" s="104" t="s">
        <v>700</v>
      </c>
      <c r="BO301" s="104" t="s">
        <v>1700</v>
      </c>
      <c r="BP301" s="104" t="s">
        <v>701</v>
      </c>
      <c r="BQ301" s="104" t="s">
        <v>702</v>
      </c>
      <c r="BR301" s="104" t="s">
        <v>609</v>
      </c>
      <c r="BS301" s="104" t="s">
        <v>586</v>
      </c>
      <c r="BT301" s="55" t="s">
        <v>11</v>
      </c>
    </row>
    <row r="302" spans="1:73" s="3" customFormat="1" ht="73.5" customHeight="1" outlineLevel="1" x14ac:dyDescent="0.25">
      <c r="A302" s="106"/>
      <c r="B302" s="59"/>
      <c r="C302" s="112" t="s">
        <v>2051</v>
      </c>
      <c r="D302" s="104" t="s">
        <v>2083</v>
      </c>
      <c r="E302" s="104" t="s">
        <v>9</v>
      </c>
      <c r="F302" s="104">
        <v>84079.06</v>
      </c>
      <c r="G302" s="104">
        <v>82190.013999999996</v>
      </c>
      <c r="H302" s="104"/>
      <c r="I302" s="104"/>
      <c r="J302" s="104"/>
      <c r="K302" s="104"/>
      <c r="L302" s="104"/>
      <c r="M302" s="104">
        <v>80592</v>
      </c>
      <c r="N302" s="104">
        <f t="shared" si="415"/>
        <v>1597.7777777777778</v>
      </c>
      <c r="O302" s="104"/>
      <c r="P302" s="104"/>
      <c r="Q302" s="26"/>
      <c r="R302" s="104"/>
      <c r="S302" s="104"/>
      <c r="T302" s="104"/>
      <c r="U302" s="26"/>
      <c r="V302" s="113"/>
      <c r="W302" s="113"/>
      <c r="X302" s="113"/>
      <c r="Y302" s="113"/>
      <c r="Z302" s="113"/>
      <c r="AA302" s="118"/>
      <c r="AB302" s="122">
        <v>1438</v>
      </c>
      <c r="AC302" s="26">
        <f t="shared" si="420"/>
        <v>1438</v>
      </c>
      <c r="AD302" s="104"/>
      <c r="AE302" s="104">
        <v>1438</v>
      </c>
      <c r="AF302" s="104">
        <f t="shared" si="413"/>
        <v>1</v>
      </c>
      <c r="AG302" s="104"/>
      <c r="AH302" s="104"/>
      <c r="AI302" s="104">
        <f t="shared" si="416"/>
        <v>159.7777777777778</v>
      </c>
      <c r="AJ302" s="104"/>
      <c r="AK302" s="104"/>
      <c r="AL302" s="104"/>
      <c r="AM302" s="104"/>
      <c r="AN302" s="104"/>
      <c r="AO302" s="104"/>
      <c r="AP302" s="113">
        <f t="shared" si="417"/>
        <v>-1438</v>
      </c>
      <c r="AQ302" s="113"/>
      <c r="AR302" s="34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26"/>
      <c r="BF302" s="104"/>
      <c r="BG302" s="104"/>
      <c r="BH302" s="104"/>
      <c r="BI302" s="104"/>
      <c r="BJ302" s="104"/>
      <c r="BK302" s="104"/>
      <c r="BL302" s="104"/>
      <c r="BM302" s="104"/>
      <c r="BN302" s="104" t="s">
        <v>2052</v>
      </c>
      <c r="BO302" s="104" t="s">
        <v>2053</v>
      </c>
      <c r="BP302" s="104" t="s">
        <v>2054</v>
      </c>
      <c r="BQ302" s="104" t="s">
        <v>2055</v>
      </c>
      <c r="BR302" s="104" t="s">
        <v>2056</v>
      </c>
      <c r="BS302" s="104" t="s">
        <v>2057</v>
      </c>
      <c r="BT302" s="55"/>
    </row>
    <row r="303" spans="1:73" s="3" customFormat="1" ht="84" customHeight="1" outlineLevel="1" x14ac:dyDescent="0.25">
      <c r="A303" s="106"/>
      <c r="B303" s="59"/>
      <c r="C303" s="112" t="s">
        <v>2058</v>
      </c>
      <c r="D303" s="104" t="s">
        <v>2082</v>
      </c>
      <c r="E303" s="104" t="s">
        <v>9</v>
      </c>
      <c r="F303" s="104">
        <v>86773.26</v>
      </c>
      <c r="G303" s="104">
        <v>84056.98</v>
      </c>
      <c r="H303" s="104"/>
      <c r="I303" s="104"/>
      <c r="J303" s="104"/>
      <c r="K303" s="104"/>
      <c r="L303" s="104"/>
      <c r="M303" s="104">
        <v>83432</v>
      </c>
      <c r="N303" s="104">
        <f t="shared" si="415"/>
        <v>624.44444444444446</v>
      </c>
      <c r="O303" s="104"/>
      <c r="P303" s="104"/>
      <c r="Q303" s="26"/>
      <c r="R303" s="104"/>
      <c r="S303" s="104"/>
      <c r="T303" s="104"/>
      <c r="U303" s="26"/>
      <c r="V303" s="113"/>
      <c r="W303" s="113"/>
      <c r="X303" s="113"/>
      <c r="Y303" s="113"/>
      <c r="Z303" s="113"/>
      <c r="AA303" s="118"/>
      <c r="AB303" s="122">
        <v>562</v>
      </c>
      <c r="AC303" s="26">
        <f t="shared" si="420"/>
        <v>562</v>
      </c>
      <c r="AD303" s="104"/>
      <c r="AE303" s="104">
        <v>562</v>
      </c>
      <c r="AF303" s="104">
        <f t="shared" si="413"/>
        <v>1</v>
      </c>
      <c r="AG303" s="104"/>
      <c r="AH303" s="104"/>
      <c r="AI303" s="104">
        <f t="shared" si="416"/>
        <v>62.44444444444445</v>
      </c>
      <c r="AJ303" s="104"/>
      <c r="AK303" s="104"/>
      <c r="AL303" s="104"/>
      <c r="AM303" s="104"/>
      <c r="AN303" s="104"/>
      <c r="AO303" s="104"/>
      <c r="AP303" s="113">
        <f t="shared" si="417"/>
        <v>-562</v>
      </c>
      <c r="AQ303" s="113"/>
      <c r="AR303" s="34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26"/>
      <c r="BF303" s="104"/>
      <c r="BG303" s="104"/>
      <c r="BH303" s="104"/>
      <c r="BI303" s="104"/>
      <c r="BJ303" s="104"/>
      <c r="BK303" s="104"/>
      <c r="BL303" s="104"/>
      <c r="BM303" s="104"/>
      <c r="BN303" s="104"/>
      <c r="BO303" s="104"/>
      <c r="BP303" s="104"/>
      <c r="BQ303" s="104"/>
      <c r="BR303" s="104"/>
      <c r="BS303" s="104"/>
      <c r="BT303" s="55"/>
    </row>
    <row r="304" spans="1:73" s="3" customFormat="1" ht="88.5" hidden="1" customHeight="1" outlineLevel="1" x14ac:dyDescent="0.25">
      <c r="A304" s="106"/>
      <c r="B304" s="59">
        <v>30</v>
      </c>
      <c r="C304" s="69" t="s">
        <v>1336</v>
      </c>
      <c r="D304" s="104" t="s">
        <v>321</v>
      </c>
      <c r="E304" s="104">
        <v>2015</v>
      </c>
      <c r="F304" s="104">
        <v>598477</v>
      </c>
      <c r="G304" s="104">
        <v>589633</v>
      </c>
      <c r="H304" s="104"/>
      <c r="I304" s="104"/>
      <c r="J304" s="104"/>
      <c r="K304" s="104">
        <v>1</v>
      </c>
      <c r="L304" s="104"/>
      <c r="M304" s="104">
        <v>0</v>
      </c>
      <c r="N304" s="104">
        <f t="shared" si="415"/>
        <v>0</v>
      </c>
      <c r="O304" s="104">
        <v>265335</v>
      </c>
      <c r="P304" s="104">
        <v>1</v>
      </c>
      <c r="Q304" s="26">
        <v>0</v>
      </c>
      <c r="R304" s="104">
        <v>0</v>
      </c>
      <c r="S304" s="104">
        <f t="shared" si="421"/>
        <v>0</v>
      </c>
      <c r="T304" s="104"/>
      <c r="U304" s="26">
        <f t="shared" ref="U304:V319" si="424">W304+Y304</f>
        <v>0</v>
      </c>
      <c r="V304" s="113">
        <f t="shared" si="424"/>
        <v>0</v>
      </c>
      <c r="W304" s="113"/>
      <c r="X304" s="113">
        <f t="shared" ref="X304:X319" si="425">IF(W304,1,0)</f>
        <v>0</v>
      </c>
      <c r="Y304" s="113"/>
      <c r="Z304" s="113">
        <f t="shared" ref="Z304:Z319" si="426">IF(Y304,1,0)</f>
        <v>0</v>
      </c>
      <c r="AA304" s="118">
        <v>0</v>
      </c>
      <c r="AB304" s="122"/>
      <c r="AC304" s="26">
        <f t="shared" si="420"/>
        <v>0</v>
      </c>
      <c r="AD304" s="104">
        <f t="shared" si="420"/>
        <v>0</v>
      </c>
      <c r="AE304" s="104"/>
      <c r="AF304" s="104">
        <f t="shared" si="413"/>
        <v>0</v>
      </c>
      <c r="AG304" s="104"/>
      <c r="AH304" s="104">
        <f t="shared" si="414"/>
        <v>0</v>
      </c>
      <c r="AI304" s="104">
        <f t="shared" si="416"/>
        <v>0</v>
      </c>
      <c r="AJ304" s="104"/>
      <c r="AK304" s="104"/>
      <c r="AL304" s="104">
        <v>530670</v>
      </c>
      <c r="AM304" s="104">
        <v>1</v>
      </c>
      <c r="AN304" s="104">
        <f t="shared" si="422"/>
        <v>0</v>
      </c>
      <c r="AO304" s="104"/>
      <c r="AP304" s="113">
        <f t="shared" si="417"/>
        <v>0</v>
      </c>
      <c r="AQ304" s="113"/>
      <c r="AR304" s="34">
        <f t="shared" si="419"/>
        <v>530670</v>
      </c>
      <c r="AS304" s="10">
        <f t="shared" si="419"/>
        <v>1</v>
      </c>
      <c r="AT304" s="10"/>
      <c r="AU304" s="10">
        <f t="shared" si="392"/>
        <v>0</v>
      </c>
      <c r="AV304" s="10">
        <v>530670</v>
      </c>
      <c r="AW304" s="10">
        <f t="shared" si="393"/>
        <v>1</v>
      </c>
      <c r="AX304" s="10">
        <f t="shared" si="418"/>
        <v>58963.333333333343</v>
      </c>
      <c r="AY304" s="10">
        <v>1</v>
      </c>
      <c r="AZ304" s="10"/>
      <c r="BA304" s="10">
        <v>0</v>
      </c>
      <c r="BB304" s="10">
        <v>0</v>
      </c>
      <c r="BC304" s="10">
        <f t="shared" si="423"/>
        <v>0</v>
      </c>
      <c r="BD304" s="10"/>
      <c r="BE304" s="26">
        <f t="shared" si="388"/>
        <v>0</v>
      </c>
      <c r="BF304" s="104">
        <f t="shared" si="388"/>
        <v>0</v>
      </c>
      <c r="BG304" s="104"/>
      <c r="BH304" s="104">
        <f t="shared" si="389"/>
        <v>0</v>
      </c>
      <c r="BI304" s="104"/>
      <c r="BJ304" s="104">
        <f t="shared" si="390"/>
        <v>0</v>
      </c>
      <c r="BK304" s="104"/>
      <c r="BL304" s="104"/>
      <c r="BM304" s="104"/>
      <c r="BN304" s="104" t="s">
        <v>624</v>
      </c>
      <c r="BO304" s="104" t="s">
        <v>1702</v>
      </c>
      <c r="BP304" s="104" t="s">
        <v>625</v>
      </c>
      <c r="BQ304" s="104" t="s">
        <v>626</v>
      </c>
      <c r="BR304" s="104" t="s">
        <v>573</v>
      </c>
      <c r="BS304" s="104" t="s">
        <v>575</v>
      </c>
      <c r="BT304" s="55" t="s">
        <v>11</v>
      </c>
    </row>
    <row r="305" spans="1:77" s="3" customFormat="1" ht="73.5" hidden="1" customHeight="1" outlineLevel="1" x14ac:dyDescent="0.25">
      <c r="A305" s="106"/>
      <c r="B305" s="59">
        <v>31</v>
      </c>
      <c r="C305" s="69" t="s">
        <v>1337</v>
      </c>
      <c r="D305" s="104" t="s">
        <v>322</v>
      </c>
      <c r="E305" s="104">
        <v>2015</v>
      </c>
      <c r="F305" s="104">
        <v>215436</v>
      </c>
      <c r="G305" s="104">
        <v>210533</v>
      </c>
      <c r="H305" s="104"/>
      <c r="I305" s="104"/>
      <c r="J305" s="104"/>
      <c r="K305" s="104">
        <v>1</v>
      </c>
      <c r="L305" s="104"/>
      <c r="M305" s="104">
        <v>0</v>
      </c>
      <c r="N305" s="104">
        <f t="shared" si="415"/>
        <v>0</v>
      </c>
      <c r="O305" s="104">
        <v>189480</v>
      </c>
      <c r="P305" s="104">
        <v>1</v>
      </c>
      <c r="Q305" s="26">
        <v>0</v>
      </c>
      <c r="R305" s="104">
        <v>0</v>
      </c>
      <c r="S305" s="104">
        <f t="shared" si="421"/>
        <v>0</v>
      </c>
      <c r="T305" s="104"/>
      <c r="U305" s="26">
        <f t="shared" si="424"/>
        <v>0</v>
      </c>
      <c r="V305" s="113">
        <f t="shared" si="424"/>
        <v>0</v>
      </c>
      <c r="W305" s="113"/>
      <c r="X305" s="113">
        <f t="shared" si="425"/>
        <v>0</v>
      </c>
      <c r="Y305" s="113"/>
      <c r="Z305" s="113">
        <f t="shared" si="426"/>
        <v>0</v>
      </c>
      <c r="AA305" s="118">
        <v>0</v>
      </c>
      <c r="AB305" s="122"/>
      <c r="AC305" s="26">
        <f t="shared" si="420"/>
        <v>0</v>
      </c>
      <c r="AD305" s="104">
        <f t="shared" si="420"/>
        <v>0</v>
      </c>
      <c r="AE305" s="104"/>
      <c r="AF305" s="104">
        <f t="shared" si="413"/>
        <v>0</v>
      </c>
      <c r="AG305" s="104"/>
      <c r="AH305" s="104">
        <f t="shared" si="414"/>
        <v>0</v>
      </c>
      <c r="AI305" s="104">
        <f t="shared" si="416"/>
        <v>0</v>
      </c>
      <c r="AJ305" s="104"/>
      <c r="AK305" s="104"/>
      <c r="AL305" s="104">
        <v>189480</v>
      </c>
      <c r="AM305" s="104">
        <v>1</v>
      </c>
      <c r="AN305" s="104">
        <f t="shared" si="422"/>
        <v>0</v>
      </c>
      <c r="AO305" s="104"/>
      <c r="AP305" s="113">
        <f t="shared" si="417"/>
        <v>0</v>
      </c>
      <c r="AQ305" s="113"/>
      <c r="AR305" s="34">
        <f t="shared" si="419"/>
        <v>189480</v>
      </c>
      <c r="AS305" s="10">
        <f t="shared" si="419"/>
        <v>1</v>
      </c>
      <c r="AT305" s="10">
        <v>0</v>
      </c>
      <c r="AU305" s="10">
        <f t="shared" si="392"/>
        <v>0</v>
      </c>
      <c r="AV305" s="10">
        <v>189480</v>
      </c>
      <c r="AW305" s="10">
        <f t="shared" si="393"/>
        <v>1</v>
      </c>
      <c r="AX305" s="10">
        <f t="shared" si="418"/>
        <v>21053.333333333332</v>
      </c>
      <c r="AY305" s="10">
        <v>1</v>
      </c>
      <c r="AZ305" s="10"/>
      <c r="BA305" s="10">
        <v>0</v>
      </c>
      <c r="BB305" s="10">
        <v>0</v>
      </c>
      <c r="BC305" s="10">
        <f t="shared" si="423"/>
        <v>0</v>
      </c>
      <c r="BD305" s="10"/>
      <c r="BE305" s="26">
        <f t="shared" si="388"/>
        <v>0</v>
      </c>
      <c r="BF305" s="104">
        <f t="shared" si="388"/>
        <v>0</v>
      </c>
      <c r="BG305" s="104"/>
      <c r="BH305" s="104">
        <f t="shared" si="389"/>
        <v>0</v>
      </c>
      <c r="BI305" s="104"/>
      <c r="BJ305" s="104">
        <f t="shared" si="390"/>
        <v>0</v>
      </c>
      <c r="BK305" s="104"/>
      <c r="BL305" s="104"/>
      <c r="BM305" s="104"/>
      <c r="BN305" s="104" t="s">
        <v>627</v>
      </c>
      <c r="BO305" s="104" t="s">
        <v>1703</v>
      </c>
      <c r="BP305" s="104" t="s">
        <v>628</v>
      </c>
      <c r="BQ305" s="104" t="s">
        <v>629</v>
      </c>
      <c r="BR305" s="104" t="s">
        <v>630</v>
      </c>
      <c r="BS305" s="104" t="s">
        <v>586</v>
      </c>
      <c r="BT305" s="55" t="s">
        <v>11</v>
      </c>
    </row>
    <row r="306" spans="1:77" s="3" customFormat="1" ht="80.25" customHeight="1" outlineLevel="1" x14ac:dyDescent="0.25">
      <c r="A306" s="106"/>
      <c r="B306" s="59">
        <v>32</v>
      </c>
      <c r="C306" s="67" t="s">
        <v>1502</v>
      </c>
      <c r="D306" s="104" t="s">
        <v>1503</v>
      </c>
      <c r="E306" s="104" t="s">
        <v>10</v>
      </c>
      <c r="F306" s="104">
        <v>407240</v>
      </c>
      <c r="G306" s="104">
        <v>403159.66</v>
      </c>
      <c r="H306" s="104"/>
      <c r="I306" s="104"/>
      <c r="J306" s="104"/>
      <c r="K306" s="104"/>
      <c r="L306" s="104"/>
      <c r="M306" s="104">
        <v>0</v>
      </c>
      <c r="N306" s="104">
        <f t="shared" si="415"/>
        <v>0</v>
      </c>
      <c r="O306" s="104">
        <v>181422</v>
      </c>
      <c r="P306" s="104">
        <v>1</v>
      </c>
      <c r="Q306" s="26">
        <v>181422</v>
      </c>
      <c r="R306" s="104">
        <v>1</v>
      </c>
      <c r="S306" s="104">
        <f t="shared" si="421"/>
        <v>181422</v>
      </c>
      <c r="T306" s="104"/>
      <c r="U306" s="26">
        <f t="shared" si="424"/>
        <v>181422</v>
      </c>
      <c r="V306" s="113">
        <f t="shared" si="424"/>
        <v>1</v>
      </c>
      <c r="W306" s="113"/>
      <c r="X306" s="113">
        <f t="shared" si="425"/>
        <v>0</v>
      </c>
      <c r="Y306" s="113">
        <f>181422</f>
        <v>181422</v>
      </c>
      <c r="Z306" s="113">
        <f t="shared" si="426"/>
        <v>1</v>
      </c>
      <c r="AA306" s="118">
        <v>-181422</v>
      </c>
      <c r="AB306" s="122"/>
      <c r="AC306" s="26">
        <f t="shared" si="420"/>
        <v>0</v>
      </c>
      <c r="AD306" s="104">
        <f t="shared" si="420"/>
        <v>0</v>
      </c>
      <c r="AE306" s="104"/>
      <c r="AF306" s="104">
        <f t="shared" si="413"/>
        <v>0</v>
      </c>
      <c r="AG306" s="104"/>
      <c r="AH306" s="104">
        <f t="shared" si="414"/>
        <v>0</v>
      </c>
      <c r="AI306" s="104">
        <f t="shared" si="416"/>
        <v>0</v>
      </c>
      <c r="AJ306" s="104"/>
      <c r="AK306" s="104">
        <v>1</v>
      </c>
      <c r="AL306" s="104">
        <v>181422</v>
      </c>
      <c r="AM306" s="104">
        <v>1</v>
      </c>
      <c r="AN306" s="104">
        <f t="shared" si="422"/>
        <v>-181422</v>
      </c>
      <c r="AO306" s="104"/>
      <c r="AP306" s="113">
        <f t="shared" si="417"/>
        <v>181422</v>
      </c>
      <c r="AQ306" s="113"/>
      <c r="AR306" s="34">
        <f t="shared" si="419"/>
        <v>362844</v>
      </c>
      <c r="AS306" s="10">
        <f t="shared" si="419"/>
        <v>1</v>
      </c>
      <c r="AT306" s="10"/>
      <c r="AU306" s="10">
        <f t="shared" si="392"/>
        <v>0</v>
      </c>
      <c r="AV306" s="10">
        <f>181422+181422</f>
        <v>362844</v>
      </c>
      <c r="AW306" s="10">
        <f t="shared" si="393"/>
        <v>1</v>
      </c>
      <c r="AX306" s="10">
        <f t="shared" si="418"/>
        <v>40316</v>
      </c>
      <c r="AY306" s="10">
        <v>1</v>
      </c>
      <c r="AZ306" s="10"/>
      <c r="BA306" s="10">
        <v>0</v>
      </c>
      <c r="BB306" s="10">
        <v>0</v>
      </c>
      <c r="BC306" s="10">
        <f t="shared" si="423"/>
        <v>0</v>
      </c>
      <c r="BD306" s="10"/>
      <c r="BE306" s="26">
        <f t="shared" si="388"/>
        <v>0</v>
      </c>
      <c r="BF306" s="104">
        <f t="shared" si="388"/>
        <v>0</v>
      </c>
      <c r="BG306" s="104"/>
      <c r="BH306" s="104">
        <f t="shared" si="389"/>
        <v>0</v>
      </c>
      <c r="BI306" s="104"/>
      <c r="BJ306" s="104">
        <f t="shared" si="390"/>
        <v>0</v>
      </c>
      <c r="BK306" s="104"/>
      <c r="BL306" s="104"/>
      <c r="BM306" s="104"/>
      <c r="BN306" s="104" t="s">
        <v>921</v>
      </c>
      <c r="BO306" s="104" t="s">
        <v>1704</v>
      </c>
      <c r="BP306" s="104" t="s">
        <v>1207</v>
      </c>
      <c r="BQ306" s="104" t="s">
        <v>1208</v>
      </c>
      <c r="BR306" s="104" t="s">
        <v>1209</v>
      </c>
      <c r="BS306" s="104" t="s">
        <v>586</v>
      </c>
      <c r="BT306" s="55" t="s">
        <v>11</v>
      </c>
    </row>
    <row r="307" spans="1:77" s="3" customFormat="1" ht="83.25" customHeight="1" outlineLevel="1" x14ac:dyDescent="0.25">
      <c r="A307" s="106"/>
      <c r="B307" s="59">
        <v>33</v>
      </c>
      <c r="C307" s="67" t="s">
        <v>1338</v>
      </c>
      <c r="D307" s="104" t="s">
        <v>602</v>
      </c>
      <c r="E307" s="104" t="s">
        <v>10</v>
      </c>
      <c r="F307" s="104">
        <v>182809.23</v>
      </c>
      <c r="G307" s="104">
        <v>174339.76800000001</v>
      </c>
      <c r="H307" s="104"/>
      <c r="I307" s="104"/>
      <c r="J307" s="104"/>
      <c r="K307" s="104"/>
      <c r="L307" s="104"/>
      <c r="M307" s="104">
        <v>0</v>
      </c>
      <c r="N307" s="104">
        <f t="shared" si="415"/>
        <v>0</v>
      </c>
      <c r="O307" s="104">
        <v>87164</v>
      </c>
      <c r="P307" s="104">
        <v>1</v>
      </c>
      <c r="Q307" s="26">
        <v>87164</v>
      </c>
      <c r="R307" s="104">
        <v>1</v>
      </c>
      <c r="S307" s="104">
        <f t="shared" si="421"/>
        <v>87164</v>
      </c>
      <c r="T307" s="104"/>
      <c r="U307" s="26">
        <f t="shared" si="424"/>
        <v>87164</v>
      </c>
      <c r="V307" s="113">
        <f t="shared" si="424"/>
        <v>1</v>
      </c>
      <c r="W307" s="113"/>
      <c r="X307" s="113">
        <f t="shared" si="425"/>
        <v>0</v>
      </c>
      <c r="Y307" s="113">
        <v>87164</v>
      </c>
      <c r="Z307" s="113">
        <f t="shared" si="426"/>
        <v>1</v>
      </c>
      <c r="AA307" s="118">
        <v>-87164</v>
      </c>
      <c r="AB307" s="122"/>
      <c r="AC307" s="26">
        <f t="shared" si="420"/>
        <v>0</v>
      </c>
      <c r="AD307" s="104">
        <f t="shared" si="420"/>
        <v>0</v>
      </c>
      <c r="AE307" s="104"/>
      <c r="AF307" s="104">
        <f t="shared" si="413"/>
        <v>0</v>
      </c>
      <c r="AG307" s="104"/>
      <c r="AH307" s="104">
        <f t="shared" si="414"/>
        <v>0</v>
      </c>
      <c r="AI307" s="104">
        <f t="shared" si="416"/>
        <v>0</v>
      </c>
      <c r="AJ307" s="104"/>
      <c r="AK307" s="104">
        <v>1</v>
      </c>
      <c r="AL307" s="104">
        <v>69742</v>
      </c>
      <c r="AM307" s="104">
        <v>1</v>
      </c>
      <c r="AN307" s="104">
        <f t="shared" si="422"/>
        <v>-87164</v>
      </c>
      <c r="AO307" s="104"/>
      <c r="AP307" s="113">
        <f t="shared" si="417"/>
        <v>87164</v>
      </c>
      <c r="AQ307" s="113"/>
      <c r="AR307" s="34">
        <f t="shared" si="419"/>
        <v>156906</v>
      </c>
      <c r="AS307" s="10">
        <f t="shared" si="419"/>
        <v>1</v>
      </c>
      <c r="AT307" s="10"/>
      <c r="AU307" s="10">
        <f t="shared" si="392"/>
        <v>0</v>
      </c>
      <c r="AV307" s="10">
        <f>156906-87164+87164</f>
        <v>156906</v>
      </c>
      <c r="AW307" s="10">
        <f t="shared" si="393"/>
        <v>1</v>
      </c>
      <c r="AX307" s="10">
        <f t="shared" si="418"/>
        <v>17434</v>
      </c>
      <c r="AY307" s="10">
        <v>1</v>
      </c>
      <c r="AZ307" s="10"/>
      <c r="BA307" s="10">
        <v>0</v>
      </c>
      <c r="BB307" s="10">
        <v>0</v>
      </c>
      <c r="BC307" s="10">
        <f t="shared" si="423"/>
        <v>0</v>
      </c>
      <c r="BD307" s="10"/>
      <c r="BE307" s="26">
        <f t="shared" si="388"/>
        <v>0</v>
      </c>
      <c r="BF307" s="104">
        <f t="shared" si="388"/>
        <v>0</v>
      </c>
      <c r="BG307" s="104"/>
      <c r="BH307" s="104">
        <f t="shared" si="389"/>
        <v>0</v>
      </c>
      <c r="BI307" s="104"/>
      <c r="BJ307" s="104">
        <f t="shared" si="390"/>
        <v>0</v>
      </c>
      <c r="BK307" s="104"/>
      <c r="BL307" s="104"/>
      <c r="BM307" s="104"/>
      <c r="BN307" s="104" t="s">
        <v>1705</v>
      </c>
      <c r="BO307" s="104" t="s">
        <v>1700</v>
      </c>
      <c r="BP307" s="104" t="s">
        <v>604</v>
      </c>
      <c r="BQ307" s="104" t="s">
        <v>605</v>
      </c>
      <c r="BR307" s="104" t="s">
        <v>601</v>
      </c>
      <c r="BS307" s="104" t="s">
        <v>603</v>
      </c>
      <c r="BT307" s="55" t="s">
        <v>11</v>
      </c>
    </row>
    <row r="308" spans="1:77" s="3" customFormat="1" ht="72" customHeight="1" outlineLevel="1" x14ac:dyDescent="0.25">
      <c r="A308" s="106"/>
      <c r="B308" s="59">
        <v>34</v>
      </c>
      <c r="C308" s="67" t="s">
        <v>1339</v>
      </c>
      <c r="D308" s="104" t="s">
        <v>636</v>
      </c>
      <c r="E308" s="104" t="s">
        <v>10</v>
      </c>
      <c r="F308" s="104">
        <v>225007.37</v>
      </c>
      <c r="G308" s="104">
        <v>221000</v>
      </c>
      <c r="H308" s="104"/>
      <c r="I308" s="104"/>
      <c r="J308" s="104"/>
      <c r="K308" s="104"/>
      <c r="L308" s="104"/>
      <c r="M308" s="104">
        <v>0</v>
      </c>
      <c r="N308" s="104">
        <f t="shared" si="415"/>
        <v>0</v>
      </c>
      <c r="O308" s="104">
        <v>221000</v>
      </c>
      <c r="P308" s="104">
        <v>1</v>
      </c>
      <c r="Q308" s="26">
        <v>198900</v>
      </c>
      <c r="R308" s="104">
        <v>1</v>
      </c>
      <c r="S308" s="104">
        <f t="shared" si="421"/>
        <v>198900</v>
      </c>
      <c r="T308" s="104"/>
      <c r="U308" s="26">
        <f t="shared" si="424"/>
        <v>198900</v>
      </c>
      <c r="V308" s="113">
        <f t="shared" si="424"/>
        <v>1</v>
      </c>
      <c r="W308" s="113"/>
      <c r="X308" s="113">
        <f t="shared" si="425"/>
        <v>0</v>
      </c>
      <c r="Y308" s="113">
        <v>198900</v>
      </c>
      <c r="Z308" s="113">
        <f t="shared" si="426"/>
        <v>1</v>
      </c>
      <c r="AA308" s="118">
        <v>-198900</v>
      </c>
      <c r="AB308" s="122"/>
      <c r="AC308" s="26">
        <f t="shared" si="420"/>
        <v>0</v>
      </c>
      <c r="AD308" s="104">
        <f t="shared" si="420"/>
        <v>0</v>
      </c>
      <c r="AE308" s="104"/>
      <c r="AF308" s="104">
        <f t="shared" si="413"/>
        <v>0</v>
      </c>
      <c r="AG308" s="104"/>
      <c r="AH308" s="104">
        <f t="shared" si="414"/>
        <v>0</v>
      </c>
      <c r="AI308" s="104">
        <f t="shared" si="416"/>
        <v>0</v>
      </c>
      <c r="AJ308" s="104">
        <v>1</v>
      </c>
      <c r="AK308" s="104"/>
      <c r="AL308" s="104">
        <v>0</v>
      </c>
      <c r="AM308" s="104">
        <v>0</v>
      </c>
      <c r="AN308" s="104">
        <f t="shared" si="422"/>
        <v>-198900</v>
      </c>
      <c r="AO308" s="104"/>
      <c r="AP308" s="113">
        <f t="shared" si="417"/>
        <v>198900</v>
      </c>
      <c r="AQ308" s="113"/>
      <c r="AR308" s="34">
        <f t="shared" si="419"/>
        <v>198900</v>
      </c>
      <c r="AS308" s="10">
        <f t="shared" si="419"/>
        <v>1</v>
      </c>
      <c r="AT308" s="10"/>
      <c r="AU308" s="10">
        <f t="shared" si="392"/>
        <v>0</v>
      </c>
      <c r="AV308" s="10">
        <f>198900</f>
        <v>198900</v>
      </c>
      <c r="AW308" s="10">
        <f t="shared" si="393"/>
        <v>1</v>
      </c>
      <c r="AX308" s="10">
        <f t="shared" si="418"/>
        <v>22100</v>
      </c>
      <c r="AY308" s="10"/>
      <c r="AZ308" s="10"/>
      <c r="BA308" s="10">
        <v>0</v>
      </c>
      <c r="BB308" s="10">
        <v>0</v>
      </c>
      <c r="BC308" s="10">
        <f t="shared" si="423"/>
        <v>0</v>
      </c>
      <c r="BD308" s="10"/>
      <c r="BE308" s="26">
        <f t="shared" si="388"/>
        <v>0</v>
      </c>
      <c r="BF308" s="104">
        <f t="shared" si="388"/>
        <v>0</v>
      </c>
      <c r="BG308" s="104"/>
      <c r="BH308" s="104">
        <f t="shared" si="389"/>
        <v>0</v>
      </c>
      <c r="BI308" s="104"/>
      <c r="BJ308" s="104">
        <f t="shared" si="390"/>
        <v>0</v>
      </c>
      <c r="BK308" s="104"/>
      <c r="BL308" s="104"/>
      <c r="BM308" s="104"/>
      <c r="BN308" s="104" t="s">
        <v>637</v>
      </c>
      <c r="BO308" s="104" t="s">
        <v>1702</v>
      </c>
      <c r="BP308" s="104" t="s">
        <v>639</v>
      </c>
      <c r="BQ308" s="104" t="s">
        <v>640</v>
      </c>
      <c r="BR308" s="104" t="s">
        <v>573</v>
      </c>
      <c r="BS308" s="104" t="s">
        <v>638</v>
      </c>
      <c r="BT308" s="55" t="s">
        <v>11</v>
      </c>
    </row>
    <row r="309" spans="1:77" s="3" customFormat="1" ht="69" customHeight="1" outlineLevel="1" x14ac:dyDescent="0.25">
      <c r="A309" s="106"/>
      <c r="B309" s="59">
        <v>35</v>
      </c>
      <c r="C309" s="67" t="s">
        <v>1340</v>
      </c>
      <c r="D309" s="104" t="s">
        <v>644</v>
      </c>
      <c r="E309" s="104" t="s">
        <v>10</v>
      </c>
      <c r="F309" s="104">
        <v>181554</v>
      </c>
      <c r="G309" s="104">
        <v>175159</v>
      </c>
      <c r="H309" s="104"/>
      <c r="I309" s="104"/>
      <c r="J309" s="104"/>
      <c r="K309" s="104"/>
      <c r="L309" s="104"/>
      <c r="M309" s="104">
        <v>0</v>
      </c>
      <c r="N309" s="104">
        <f t="shared" si="415"/>
        <v>0</v>
      </c>
      <c r="O309" s="104">
        <v>78821</v>
      </c>
      <c r="P309" s="104">
        <v>1</v>
      </c>
      <c r="Q309" s="26">
        <v>74659</v>
      </c>
      <c r="R309" s="104">
        <v>1</v>
      </c>
      <c r="S309" s="104">
        <f t="shared" si="421"/>
        <v>74659</v>
      </c>
      <c r="T309" s="104"/>
      <c r="U309" s="26">
        <f t="shared" si="424"/>
        <v>74659</v>
      </c>
      <c r="V309" s="113">
        <f t="shared" si="424"/>
        <v>1</v>
      </c>
      <c r="W309" s="113"/>
      <c r="X309" s="113">
        <f t="shared" si="425"/>
        <v>0</v>
      </c>
      <c r="Y309" s="113">
        <f>157643-82984</f>
        <v>74659</v>
      </c>
      <c r="Z309" s="113">
        <f t="shared" si="426"/>
        <v>1</v>
      </c>
      <c r="AA309" s="118">
        <v>-74659</v>
      </c>
      <c r="AB309" s="122"/>
      <c r="AC309" s="26">
        <f t="shared" si="420"/>
        <v>0</v>
      </c>
      <c r="AD309" s="104">
        <f t="shared" si="420"/>
        <v>0</v>
      </c>
      <c r="AE309" s="104"/>
      <c r="AF309" s="104">
        <f t="shared" si="413"/>
        <v>0</v>
      </c>
      <c r="AG309" s="104"/>
      <c r="AH309" s="104">
        <f t="shared" si="414"/>
        <v>0</v>
      </c>
      <c r="AI309" s="104">
        <f t="shared" si="416"/>
        <v>0</v>
      </c>
      <c r="AJ309" s="104"/>
      <c r="AK309" s="104">
        <v>1</v>
      </c>
      <c r="AL309" s="104">
        <v>82984</v>
      </c>
      <c r="AM309" s="104">
        <v>1</v>
      </c>
      <c r="AN309" s="104">
        <f t="shared" si="422"/>
        <v>-74659</v>
      </c>
      <c r="AO309" s="104"/>
      <c r="AP309" s="113">
        <f t="shared" si="417"/>
        <v>74659</v>
      </c>
      <c r="AQ309" s="113"/>
      <c r="AR309" s="34">
        <f t="shared" si="419"/>
        <v>157643</v>
      </c>
      <c r="AS309" s="10">
        <f t="shared" si="419"/>
        <v>1</v>
      </c>
      <c r="AT309" s="10"/>
      <c r="AU309" s="10">
        <f t="shared" si="392"/>
        <v>0</v>
      </c>
      <c r="AV309" s="10">
        <f>82984+74659</f>
        <v>157643</v>
      </c>
      <c r="AW309" s="10">
        <f t="shared" si="393"/>
        <v>1</v>
      </c>
      <c r="AX309" s="10">
        <f t="shared" si="418"/>
        <v>17515.888888888887</v>
      </c>
      <c r="AY309" s="10">
        <v>1</v>
      </c>
      <c r="AZ309" s="10"/>
      <c r="BA309" s="10">
        <v>0</v>
      </c>
      <c r="BB309" s="10">
        <v>0</v>
      </c>
      <c r="BC309" s="10">
        <f t="shared" si="423"/>
        <v>0</v>
      </c>
      <c r="BD309" s="10"/>
      <c r="BE309" s="26">
        <f t="shared" si="388"/>
        <v>0</v>
      </c>
      <c r="BF309" s="104">
        <f t="shared" si="388"/>
        <v>0</v>
      </c>
      <c r="BG309" s="104"/>
      <c r="BH309" s="104">
        <f t="shared" si="389"/>
        <v>0</v>
      </c>
      <c r="BI309" s="104"/>
      <c r="BJ309" s="104">
        <f t="shared" si="390"/>
        <v>0</v>
      </c>
      <c r="BK309" s="104"/>
      <c r="BL309" s="104"/>
      <c r="BM309" s="104"/>
      <c r="BN309" s="104" t="s">
        <v>645</v>
      </c>
      <c r="BO309" s="104" t="s">
        <v>1702</v>
      </c>
      <c r="BP309" s="104" t="s">
        <v>1341</v>
      </c>
      <c r="BQ309" s="104" t="s">
        <v>646</v>
      </c>
      <c r="BR309" s="104" t="s">
        <v>630</v>
      </c>
      <c r="BS309" s="104" t="s">
        <v>586</v>
      </c>
      <c r="BT309" s="55" t="s">
        <v>11</v>
      </c>
    </row>
    <row r="310" spans="1:77" s="3" customFormat="1" ht="84.75" hidden="1" customHeight="1" outlineLevel="1" x14ac:dyDescent="0.25">
      <c r="A310" s="106"/>
      <c r="B310" s="59">
        <v>36</v>
      </c>
      <c r="C310" s="67" t="s">
        <v>1342</v>
      </c>
      <c r="D310" s="104" t="s">
        <v>648</v>
      </c>
      <c r="E310" s="104">
        <v>2016</v>
      </c>
      <c r="F310" s="104">
        <v>191331.11</v>
      </c>
      <c r="G310" s="104">
        <v>186407</v>
      </c>
      <c r="H310" s="104"/>
      <c r="I310" s="104"/>
      <c r="J310" s="104"/>
      <c r="K310" s="104"/>
      <c r="L310" s="104"/>
      <c r="M310" s="104">
        <v>0</v>
      </c>
      <c r="N310" s="104">
        <f t="shared" si="415"/>
        <v>0</v>
      </c>
      <c r="O310" s="104">
        <v>83883</v>
      </c>
      <c r="P310" s="104">
        <v>1</v>
      </c>
      <c r="Q310" s="26">
        <v>0</v>
      </c>
      <c r="R310" s="104">
        <v>0</v>
      </c>
      <c r="S310" s="104">
        <f t="shared" si="421"/>
        <v>0</v>
      </c>
      <c r="T310" s="104"/>
      <c r="U310" s="26">
        <f t="shared" si="424"/>
        <v>0</v>
      </c>
      <c r="V310" s="113">
        <f t="shared" si="424"/>
        <v>0</v>
      </c>
      <c r="W310" s="113"/>
      <c r="X310" s="113">
        <f t="shared" si="425"/>
        <v>0</v>
      </c>
      <c r="Y310" s="113">
        <v>0</v>
      </c>
      <c r="Z310" s="113">
        <f t="shared" si="426"/>
        <v>0</v>
      </c>
      <c r="AA310" s="118">
        <v>0</v>
      </c>
      <c r="AB310" s="122"/>
      <c r="AC310" s="26">
        <f t="shared" si="420"/>
        <v>0</v>
      </c>
      <c r="AD310" s="104">
        <f t="shared" si="420"/>
        <v>0</v>
      </c>
      <c r="AE310" s="104"/>
      <c r="AF310" s="104">
        <f t="shared" si="413"/>
        <v>0</v>
      </c>
      <c r="AG310" s="104">
        <v>0</v>
      </c>
      <c r="AH310" s="104">
        <f t="shared" si="414"/>
        <v>0</v>
      </c>
      <c r="AI310" s="104">
        <f t="shared" si="416"/>
        <v>0</v>
      </c>
      <c r="AJ310" s="104"/>
      <c r="AK310" s="104"/>
      <c r="AL310" s="104">
        <v>167766</v>
      </c>
      <c r="AM310" s="104">
        <v>1</v>
      </c>
      <c r="AN310" s="104">
        <f t="shared" si="422"/>
        <v>0</v>
      </c>
      <c r="AO310" s="104"/>
      <c r="AP310" s="113">
        <f t="shared" si="417"/>
        <v>0</v>
      </c>
      <c r="AQ310" s="113"/>
      <c r="AR310" s="34">
        <f t="shared" si="419"/>
        <v>167766</v>
      </c>
      <c r="AS310" s="10">
        <f t="shared" si="419"/>
        <v>1</v>
      </c>
      <c r="AT310" s="10"/>
      <c r="AU310" s="10">
        <f t="shared" si="392"/>
        <v>0</v>
      </c>
      <c r="AV310" s="10">
        <v>167766</v>
      </c>
      <c r="AW310" s="10">
        <f t="shared" si="393"/>
        <v>1</v>
      </c>
      <c r="AX310" s="10">
        <f t="shared" si="418"/>
        <v>18640.666666666668</v>
      </c>
      <c r="AY310" s="10">
        <v>1</v>
      </c>
      <c r="AZ310" s="10"/>
      <c r="BA310" s="10">
        <v>0</v>
      </c>
      <c r="BB310" s="10">
        <v>0</v>
      </c>
      <c r="BC310" s="10">
        <f t="shared" si="423"/>
        <v>0</v>
      </c>
      <c r="BD310" s="10"/>
      <c r="BE310" s="26">
        <f t="shared" si="388"/>
        <v>0</v>
      </c>
      <c r="BF310" s="104">
        <f t="shared" si="388"/>
        <v>0</v>
      </c>
      <c r="BG310" s="104"/>
      <c r="BH310" s="104">
        <f t="shared" si="389"/>
        <v>0</v>
      </c>
      <c r="BI310" s="104"/>
      <c r="BJ310" s="104">
        <f t="shared" si="390"/>
        <v>0</v>
      </c>
      <c r="BK310" s="104"/>
      <c r="BL310" s="104"/>
      <c r="BM310" s="104"/>
      <c r="BN310" s="104" t="s">
        <v>649</v>
      </c>
      <c r="BO310" s="104" t="s">
        <v>1702</v>
      </c>
      <c r="BP310" s="104" t="s">
        <v>650</v>
      </c>
      <c r="BQ310" s="104" t="s">
        <v>651</v>
      </c>
      <c r="BR310" s="104" t="s">
        <v>630</v>
      </c>
      <c r="BS310" s="104" t="s">
        <v>586</v>
      </c>
      <c r="BT310" s="55" t="s">
        <v>11</v>
      </c>
    </row>
    <row r="311" spans="1:77" s="3" customFormat="1" ht="81" customHeight="1" outlineLevel="1" x14ac:dyDescent="0.25">
      <c r="A311" s="106"/>
      <c r="B311" s="59">
        <v>37</v>
      </c>
      <c r="C311" s="67" t="s">
        <v>1343</v>
      </c>
      <c r="D311" s="104" t="s">
        <v>1504</v>
      </c>
      <c r="E311" s="104">
        <v>2015</v>
      </c>
      <c r="F311" s="104">
        <v>153401</v>
      </c>
      <c r="G311" s="104">
        <v>148201</v>
      </c>
      <c r="H311" s="104"/>
      <c r="I311" s="104"/>
      <c r="J311" s="104"/>
      <c r="K311" s="104"/>
      <c r="L311" s="104"/>
      <c r="M311" s="104">
        <v>0</v>
      </c>
      <c r="N311" s="104">
        <f t="shared" si="415"/>
        <v>0</v>
      </c>
      <c r="O311" s="104">
        <v>66690</v>
      </c>
      <c r="P311" s="104">
        <v>1</v>
      </c>
      <c r="Q311" s="26">
        <v>133381</v>
      </c>
      <c r="R311" s="104">
        <v>1</v>
      </c>
      <c r="S311" s="104">
        <f t="shared" si="421"/>
        <v>133381</v>
      </c>
      <c r="T311" s="104"/>
      <c r="U311" s="26">
        <f t="shared" si="424"/>
        <v>133381</v>
      </c>
      <c r="V311" s="113">
        <f t="shared" si="424"/>
        <v>1</v>
      </c>
      <c r="W311" s="113"/>
      <c r="X311" s="113">
        <f t="shared" si="425"/>
        <v>0</v>
      </c>
      <c r="Y311" s="113">
        <v>133381</v>
      </c>
      <c r="Z311" s="113">
        <f t="shared" si="426"/>
        <v>1</v>
      </c>
      <c r="AA311" s="118">
        <v>-133381</v>
      </c>
      <c r="AB311" s="122"/>
      <c r="AC311" s="26">
        <f t="shared" si="420"/>
        <v>0</v>
      </c>
      <c r="AD311" s="104">
        <f t="shared" si="420"/>
        <v>0</v>
      </c>
      <c r="AE311" s="104"/>
      <c r="AF311" s="104">
        <f t="shared" si="413"/>
        <v>0</v>
      </c>
      <c r="AG311" s="104"/>
      <c r="AH311" s="104">
        <f t="shared" si="414"/>
        <v>0</v>
      </c>
      <c r="AI311" s="104">
        <f t="shared" si="416"/>
        <v>0</v>
      </c>
      <c r="AJ311" s="104">
        <v>1</v>
      </c>
      <c r="AK311" s="104"/>
      <c r="AL311" s="104">
        <v>0</v>
      </c>
      <c r="AM311" s="104">
        <v>0</v>
      </c>
      <c r="AN311" s="104">
        <f t="shared" si="422"/>
        <v>-133381</v>
      </c>
      <c r="AO311" s="104"/>
      <c r="AP311" s="113">
        <f t="shared" si="417"/>
        <v>133381</v>
      </c>
      <c r="AQ311" s="113"/>
      <c r="AR311" s="34">
        <f t="shared" si="419"/>
        <v>133381</v>
      </c>
      <c r="AS311" s="10">
        <f t="shared" si="419"/>
        <v>1</v>
      </c>
      <c r="AT311" s="10"/>
      <c r="AU311" s="10">
        <f t="shared" si="392"/>
        <v>0</v>
      </c>
      <c r="AV311" s="10">
        <f>133381</f>
        <v>133381</v>
      </c>
      <c r="AW311" s="10">
        <f t="shared" si="393"/>
        <v>1</v>
      </c>
      <c r="AX311" s="10">
        <f t="shared" si="418"/>
        <v>14820.111111111109</v>
      </c>
      <c r="AY311" s="10"/>
      <c r="AZ311" s="10"/>
      <c r="BA311" s="10">
        <v>0</v>
      </c>
      <c r="BB311" s="10">
        <v>0</v>
      </c>
      <c r="BC311" s="10">
        <f t="shared" si="423"/>
        <v>0</v>
      </c>
      <c r="BD311" s="10"/>
      <c r="BE311" s="26">
        <f t="shared" si="388"/>
        <v>0</v>
      </c>
      <c r="BF311" s="104">
        <f t="shared" si="388"/>
        <v>0</v>
      </c>
      <c r="BG311" s="104"/>
      <c r="BH311" s="104">
        <f t="shared" si="389"/>
        <v>0</v>
      </c>
      <c r="BI311" s="104"/>
      <c r="BJ311" s="104">
        <f t="shared" si="390"/>
        <v>0</v>
      </c>
      <c r="BK311" s="104"/>
      <c r="BL311" s="104"/>
      <c r="BM311" s="104"/>
      <c r="BN311" s="104" t="s">
        <v>655</v>
      </c>
      <c r="BO311" s="104" t="s">
        <v>1702</v>
      </c>
      <c r="BP311" s="104" t="s">
        <v>656</v>
      </c>
      <c r="BQ311" s="104" t="s">
        <v>626</v>
      </c>
      <c r="BR311" s="104" t="s">
        <v>573</v>
      </c>
      <c r="BS311" s="104" t="s">
        <v>586</v>
      </c>
      <c r="BT311" s="55" t="s">
        <v>11</v>
      </c>
    </row>
    <row r="312" spans="1:77" s="3" customFormat="1" ht="91.5" customHeight="1" outlineLevel="1" x14ac:dyDescent="0.25">
      <c r="A312" s="106"/>
      <c r="B312" s="59">
        <v>38</v>
      </c>
      <c r="C312" s="67" t="s">
        <v>1344</v>
      </c>
      <c r="D312" s="104" t="s">
        <v>658</v>
      </c>
      <c r="E312" s="104" t="s">
        <v>10</v>
      </c>
      <c r="F312" s="104">
        <v>218665.12</v>
      </c>
      <c r="G312" s="104">
        <v>214512</v>
      </c>
      <c r="H312" s="104"/>
      <c r="I312" s="104"/>
      <c r="J312" s="104"/>
      <c r="K312" s="104"/>
      <c r="L312" s="104"/>
      <c r="M312" s="104">
        <v>0</v>
      </c>
      <c r="N312" s="104">
        <f t="shared" si="415"/>
        <v>0</v>
      </c>
      <c r="O312" s="104">
        <v>96530</v>
      </c>
      <c r="P312" s="104">
        <v>1</v>
      </c>
      <c r="Q312" s="26">
        <v>54722</v>
      </c>
      <c r="R312" s="104">
        <v>1</v>
      </c>
      <c r="S312" s="104">
        <f t="shared" si="421"/>
        <v>54722</v>
      </c>
      <c r="T312" s="104"/>
      <c r="U312" s="26">
        <f t="shared" si="424"/>
        <v>54722</v>
      </c>
      <c r="V312" s="113">
        <f t="shared" si="424"/>
        <v>1</v>
      </c>
      <c r="W312" s="113"/>
      <c r="X312" s="113">
        <f t="shared" si="425"/>
        <v>0</v>
      </c>
      <c r="Y312" s="113">
        <v>54722</v>
      </c>
      <c r="Z312" s="113">
        <f t="shared" si="426"/>
        <v>1</v>
      </c>
      <c r="AA312" s="118">
        <v>-54722</v>
      </c>
      <c r="AB312" s="122"/>
      <c r="AC312" s="26">
        <f t="shared" si="420"/>
        <v>0</v>
      </c>
      <c r="AD312" s="104">
        <f t="shared" si="420"/>
        <v>0</v>
      </c>
      <c r="AE312" s="104"/>
      <c r="AF312" s="104">
        <f t="shared" si="413"/>
        <v>0</v>
      </c>
      <c r="AG312" s="104"/>
      <c r="AH312" s="104">
        <f t="shared" si="414"/>
        <v>0</v>
      </c>
      <c r="AI312" s="104">
        <f t="shared" si="416"/>
        <v>0</v>
      </c>
      <c r="AJ312" s="104"/>
      <c r="AK312" s="104">
        <v>1</v>
      </c>
      <c r="AL312" s="104">
        <v>138338</v>
      </c>
      <c r="AM312" s="104">
        <v>1</v>
      </c>
      <c r="AN312" s="104">
        <f t="shared" si="422"/>
        <v>-54722</v>
      </c>
      <c r="AO312" s="104"/>
      <c r="AP312" s="113">
        <f t="shared" si="417"/>
        <v>54722</v>
      </c>
      <c r="AQ312" s="113"/>
      <c r="AR312" s="34">
        <f t="shared" si="419"/>
        <v>193060</v>
      </c>
      <c r="AS312" s="10">
        <f t="shared" si="419"/>
        <v>1</v>
      </c>
      <c r="AT312" s="10"/>
      <c r="AU312" s="10">
        <f t="shared" si="392"/>
        <v>0</v>
      </c>
      <c r="AV312" s="10">
        <f>138338+54722</f>
        <v>193060</v>
      </c>
      <c r="AW312" s="10">
        <f t="shared" si="393"/>
        <v>1</v>
      </c>
      <c r="AX312" s="10">
        <f t="shared" si="418"/>
        <v>21451.111111111109</v>
      </c>
      <c r="AY312" s="10">
        <v>1</v>
      </c>
      <c r="AZ312" s="10"/>
      <c r="BA312" s="10">
        <v>0</v>
      </c>
      <c r="BB312" s="10">
        <v>0</v>
      </c>
      <c r="BC312" s="10">
        <f t="shared" si="423"/>
        <v>0</v>
      </c>
      <c r="BD312" s="10"/>
      <c r="BE312" s="26">
        <f t="shared" si="388"/>
        <v>0</v>
      </c>
      <c r="BF312" s="104">
        <f t="shared" si="388"/>
        <v>0</v>
      </c>
      <c r="BG312" s="104"/>
      <c r="BH312" s="104">
        <f t="shared" si="389"/>
        <v>0</v>
      </c>
      <c r="BI312" s="104"/>
      <c r="BJ312" s="104">
        <f t="shared" si="390"/>
        <v>0</v>
      </c>
      <c r="BK312" s="104"/>
      <c r="BL312" s="104"/>
      <c r="BM312" s="104"/>
      <c r="BN312" s="104" t="s">
        <v>657</v>
      </c>
      <c r="BO312" s="104" t="s">
        <v>1702</v>
      </c>
      <c r="BP312" s="104" t="s">
        <v>659</v>
      </c>
      <c r="BQ312" s="104" t="s">
        <v>660</v>
      </c>
      <c r="BR312" s="104" t="s">
        <v>573</v>
      </c>
      <c r="BS312" s="104" t="s">
        <v>586</v>
      </c>
      <c r="BT312" s="55" t="s">
        <v>11</v>
      </c>
    </row>
    <row r="313" spans="1:77" s="3" customFormat="1" ht="62.25" customHeight="1" outlineLevel="1" x14ac:dyDescent="0.25">
      <c r="A313" s="106"/>
      <c r="B313" s="59">
        <v>39</v>
      </c>
      <c r="C313" s="67" t="s">
        <v>1505</v>
      </c>
      <c r="D313" s="104" t="s">
        <v>674</v>
      </c>
      <c r="E313" s="104">
        <v>2015</v>
      </c>
      <c r="F313" s="104">
        <v>115254</v>
      </c>
      <c r="G313" s="104">
        <v>109903</v>
      </c>
      <c r="H313" s="104"/>
      <c r="I313" s="104"/>
      <c r="J313" s="104"/>
      <c r="K313" s="104">
        <v>1</v>
      </c>
      <c r="L313" s="104">
        <v>1</v>
      </c>
      <c r="M313" s="104">
        <v>0</v>
      </c>
      <c r="N313" s="104">
        <f t="shared" si="415"/>
        <v>0</v>
      </c>
      <c r="O313" s="104">
        <v>98912</v>
      </c>
      <c r="P313" s="104">
        <v>1</v>
      </c>
      <c r="Q313" s="26">
        <v>98912</v>
      </c>
      <c r="R313" s="104">
        <v>1</v>
      </c>
      <c r="S313" s="104">
        <f t="shared" si="421"/>
        <v>98912</v>
      </c>
      <c r="T313" s="104"/>
      <c r="U313" s="26">
        <f t="shared" si="424"/>
        <v>98912</v>
      </c>
      <c r="V313" s="113">
        <f t="shared" si="424"/>
        <v>1</v>
      </c>
      <c r="W313" s="113"/>
      <c r="X313" s="113">
        <f t="shared" si="425"/>
        <v>0</v>
      </c>
      <c r="Y313" s="113">
        <v>98912</v>
      </c>
      <c r="Z313" s="113">
        <f t="shared" si="426"/>
        <v>1</v>
      </c>
      <c r="AA313" s="118">
        <v>-98912</v>
      </c>
      <c r="AB313" s="122"/>
      <c r="AC313" s="26">
        <f t="shared" si="420"/>
        <v>0</v>
      </c>
      <c r="AD313" s="104">
        <f t="shared" si="420"/>
        <v>0</v>
      </c>
      <c r="AE313" s="104"/>
      <c r="AF313" s="104">
        <f t="shared" si="413"/>
        <v>0</v>
      </c>
      <c r="AG313" s="104"/>
      <c r="AH313" s="104">
        <f t="shared" si="414"/>
        <v>0</v>
      </c>
      <c r="AI313" s="104">
        <f t="shared" si="416"/>
        <v>0</v>
      </c>
      <c r="AJ313" s="104">
        <v>1</v>
      </c>
      <c r="AK313" s="104"/>
      <c r="AL313" s="104">
        <v>0</v>
      </c>
      <c r="AM313" s="104">
        <v>0</v>
      </c>
      <c r="AN313" s="104">
        <f t="shared" si="422"/>
        <v>-98912</v>
      </c>
      <c r="AO313" s="104"/>
      <c r="AP313" s="113">
        <f t="shared" si="417"/>
        <v>98912</v>
      </c>
      <c r="AQ313" s="113"/>
      <c r="AR313" s="34">
        <f t="shared" si="419"/>
        <v>98912</v>
      </c>
      <c r="AS313" s="10">
        <f t="shared" si="419"/>
        <v>1</v>
      </c>
      <c r="AT313" s="10">
        <v>0</v>
      </c>
      <c r="AU313" s="10">
        <f t="shared" si="392"/>
        <v>0</v>
      </c>
      <c r="AV313" s="10">
        <f>98912</f>
        <v>98912</v>
      </c>
      <c r="AW313" s="10">
        <f t="shared" si="393"/>
        <v>1</v>
      </c>
      <c r="AX313" s="10">
        <f t="shared" si="418"/>
        <v>10990.222222222223</v>
      </c>
      <c r="AY313" s="10"/>
      <c r="AZ313" s="10"/>
      <c r="BA313" s="10">
        <v>0</v>
      </c>
      <c r="BB313" s="10">
        <v>0</v>
      </c>
      <c r="BC313" s="10">
        <f t="shared" si="423"/>
        <v>0</v>
      </c>
      <c r="BD313" s="10"/>
      <c r="BE313" s="26">
        <f t="shared" si="388"/>
        <v>0</v>
      </c>
      <c r="BF313" s="104">
        <f t="shared" si="388"/>
        <v>0</v>
      </c>
      <c r="BG313" s="104"/>
      <c r="BH313" s="104">
        <f t="shared" si="389"/>
        <v>0</v>
      </c>
      <c r="BI313" s="104"/>
      <c r="BJ313" s="104">
        <f t="shared" si="390"/>
        <v>0</v>
      </c>
      <c r="BK313" s="104"/>
      <c r="BL313" s="104"/>
      <c r="BM313" s="104"/>
      <c r="BN313" s="104" t="s">
        <v>675</v>
      </c>
      <c r="BO313" s="104" t="s">
        <v>1706</v>
      </c>
      <c r="BP313" s="104" t="s">
        <v>677</v>
      </c>
      <c r="BQ313" s="104" t="s">
        <v>678</v>
      </c>
      <c r="BR313" s="104" t="s">
        <v>679</v>
      </c>
      <c r="BS313" s="104" t="s">
        <v>676</v>
      </c>
      <c r="BT313" s="55" t="s">
        <v>11</v>
      </c>
    </row>
    <row r="314" spans="1:77" s="3" customFormat="1" ht="78" customHeight="1" outlineLevel="1" x14ac:dyDescent="0.25">
      <c r="A314" s="106"/>
      <c r="B314" s="59">
        <v>40</v>
      </c>
      <c r="C314" s="67" t="s">
        <v>1328</v>
      </c>
      <c r="D314" s="104" t="s">
        <v>686</v>
      </c>
      <c r="E314" s="104">
        <v>2016</v>
      </c>
      <c r="F314" s="104">
        <v>118200</v>
      </c>
      <c r="G314" s="104">
        <v>111564.647</v>
      </c>
      <c r="H314" s="104"/>
      <c r="I314" s="104"/>
      <c r="J314" s="104"/>
      <c r="K314" s="104"/>
      <c r="L314" s="104"/>
      <c r="M314" s="104">
        <v>0</v>
      </c>
      <c r="N314" s="104">
        <f t="shared" si="415"/>
        <v>0</v>
      </c>
      <c r="O314" s="104">
        <v>100408</v>
      </c>
      <c r="P314" s="104">
        <v>1</v>
      </c>
      <c r="Q314" s="26">
        <v>0</v>
      </c>
      <c r="R314" s="104">
        <v>0</v>
      </c>
      <c r="S314" s="104">
        <f t="shared" si="421"/>
        <v>0</v>
      </c>
      <c r="T314" s="104"/>
      <c r="U314" s="26">
        <f t="shared" si="424"/>
        <v>0</v>
      </c>
      <c r="V314" s="113">
        <f t="shared" si="424"/>
        <v>0</v>
      </c>
      <c r="W314" s="113"/>
      <c r="X314" s="113">
        <f t="shared" si="425"/>
        <v>0</v>
      </c>
      <c r="Y314" s="113">
        <v>0</v>
      </c>
      <c r="Z314" s="113">
        <f t="shared" si="426"/>
        <v>0</v>
      </c>
      <c r="AA314" s="118">
        <v>0</v>
      </c>
      <c r="AB314" s="122"/>
      <c r="AC314" s="26">
        <f t="shared" si="420"/>
        <v>0</v>
      </c>
      <c r="AD314" s="104">
        <f t="shared" si="420"/>
        <v>0</v>
      </c>
      <c r="AE314" s="104"/>
      <c r="AF314" s="104">
        <f t="shared" si="413"/>
        <v>0</v>
      </c>
      <c r="AG314" s="104">
        <v>0</v>
      </c>
      <c r="AH314" s="104">
        <f t="shared" si="414"/>
        <v>0</v>
      </c>
      <c r="AI314" s="104">
        <f t="shared" si="416"/>
        <v>0</v>
      </c>
      <c r="AJ314" s="104"/>
      <c r="AK314" s="104"/>
      <c r="AL314" s="104">
        <v>100408</v>
      </c>
      <c r="AM314" s="104">
        <v>1</v>
      </c>
      <c r="AN314" s="104">
        <f t="shared" si="422"/>
        <v>0</v>
      </c>
      <c r="AO314" s="104"/>
      <c r="AP314" s="113">
        <f t="shared" si="417"/>
        <v>0</v>
      </c>
      <c r="AQ314" s="113"/>
      <c r="AR314" s="34">
        <f t="shared" si="419"/>
        <v>100408</v>
      </c>
      <c r="AS314" s="10">
        <f t="shared" si="419"/>
        <v>1</v>
      </c>
      <c r="AT314" s="10"/>
      <c r="AU314" s="10">
        <f t="shared" si="392"/>
        <v>0</v>
      </c>
      <c r="AV314" s="10">
        <v>100408</v>
      </c>
      <c r="AW314" s="10">
        <f t="shared" si="393"/>
        <v>1</v>
      </c>
      <c r="AX314" s="10">
        <f t="shared" si="418"/>
        <v>11156.444444444445</v>
      </c>
      <c r="AY314" s="10">
        <v>1</v>
      </c>
      <c r="AZ314" s="10"/>
      <c r="BA314" s="10">
        <v>0</v>
      </c>
      <c r="BB314" s="10">
        <v>0</v>
      </c>
      <c r="BC314" s="10">
        <f t="shared" si="423"/>
        <v>0</v>
      </c>
      <c r="BD314" s="10"/>
      <c r="BE314" s="26">
        <f t="shared" si="388"/>
        <v>0</v>
      </c>
      <c r="BF314" s="104">
        <f t="shared" si="388"/>
        <v>0</v>
      </c>
      <c r="BG314" s="104"/>
      <c r="BH314" s="104">
        <f t="shared" si="389"/>
        <v>0</v>
      </c>
      <c r="BI314" s="104"/>
      <c r="BJ314" s="104">
        <f t="shared" si="390"/>
        <v>0</v>
      </c>
      <c r="BK314" s="104"/>
      <c r="BL314" s="104"/>
      <c r="BM314" s="104"/>
      <c r="BN314" s="104" t="s">
        <v>687</v>
      </c>
      <c r="BO314" s="104" t="s">
        <v>1700</v>
      </c>
      <c r="BP314" s="104" t="s">
        <v>689</v>
      </c>
      <c r="BQ314" s="104" t="s">
        <v>613</v>
      </c>
      <c r="BR314" s="104" t="s">
        <v>614</v>
      </c>
      <c r="BS314" s="104" t="s">
        <v>688</v>
      </c>
      <c r="BT314" s="55" t="s">
        <v>11</v>
      </c>
    </row>
    <row r="315" spans="1:77" s="3" customFormat="1" ht="87" customHeight="1" outlineLevel="1" x14ac:dyDescent="0.25">
      <c r="A315" s="106"/>
      <c r="B315" s="59">
        <v>41</v>
      </c>
      <c r="C315" s="67" t="s">
        <v>1329</v>
      </c>
      <c r="D315" s="104" t="s">
        <v>691</v>
      </c>
      <c r="E315" s="104">
        <v>2016</v>
      </c>
      <c r="F315" s="104">
        <v>136991</v>
      </c>
      <c r="G315" s="104">
        <v>133171</v>
      </c>
      <c r="H315" s="104"/>
      <c r="I315" s="104"/>
      <c r="J315" s="104"/>
      <c r="K315" s="104"/>
      <c r="L315" s="104"/>
      <c r="M315" s="104">
        <v>0</v>
      </c>
      <c r="N315" s="104">
        <f t="shared" si="415"/>
        <v>0</v>
      </c>
      <c r="O315" s="104">
        <v>119854</v>
      </c>
      <c r="P315" s="104">
        <v>1</v>
      </c>
      <c r="Q315" s="26">
        <v>0</v>
      </c>
      <c r="R315" s="104">
        <v>0</v>
      </c>
      <c r="S315" s="104">
        <f t="shared" si="421"/>
        <v>0</v>
      </c>
      <c r="T315" s="104"/>
      <c r="U315" s="26">
        <f t="shared" si="424"/>
        <v>0</v>
      </c>
      <c r="V315" s="113">
        <f t="shared" si="424"/>
        <v>0</v>
      </c>
      <c r="W315" s="113"/>
      <c r="X315" s="113">
        <f t="shared" si="425"/>
        <v>0</v>
      </c>
      <c r="Y315" s="113">
        <v>0</v>
      </c>
      <c r="Z315" s="113">
        <f t="shared" si="426"/>
        <v>0</v>
      </c>
      <c r="AA315" s="118">
        <v>0</v>
      </c>
      <c r="AB315" s="122"/>
      <c r="AC315" s="26">
        <f t="shared" si="420"/>
        <v>0</v>
      </c>
      <c r="AD315" s="104">
        <f t="shared" si="420"/>
        <v>0</v>
      </c>
      <c r="AE315" s="104"/>
      <c r="AF315" s="104">
        <f t="shared" si="413"/>
        <v>0</v>
      </c>
      <c r="AG315" s="104">
        <v>0</v>
      </c>
      <c r="AH315" s="104">
        <f t="shared" si="414"/>
        <v>0</v>
      </c>
      <c r="AI315" s="104">
        <f t="shared" si="416"/>
        <v>0</v>
      </c>
      <c r="AJ315" s="104"/>
      <c r="AK315" s="104"/>
      <c r="AL315" s="104">
        <v>119854</v>
      </c>
      <c r="AM315" s="104">
        <v>1</v>
      </c>
      <c r="AN315" s="104">
        <f t="shared" si="422"/>
        <v>0</v>
      </c>
      <c r="AO315" s="104"/>
      <c r="AP315" s="113">
        <f t="shared" si="417"/>
        <v>0</v>
      </c>
      <c r="AQ315" s="113"/>
      <c r="AR315" s="34">
        <f t="shared" si="419"/>
        <v>119854</v>
      </c>
      <c r="AS315" s="10">
        <f t="shared" si="419"/>
        <v>1</v>
      </c>
      <c r="AT315" s="10"/>
      <c r="AU315" s="10">
        <f t="shared" si="392"/>
        <v>0</v>
      </c>
      <c r="AV315" s="10">
        <v>119854</v>
      </c>
      <c r="AW315" s="10">
        <f t="shared" si="393"/>
        <v>1</v>
      </c>
      <c r="AX315" s="10">
        <f t="shared" si="418"/>
        <v>13317.111111111109</v>
      </c>
      <c r="AY315" s="10">
        <v>1</v>
      </c>
      <c r="AZ315" s="10"/>
      <c r="BA315" s="10">
        <v>0</v>
      </c>
      <c r="BB315" s="10">
        <v>0</v>
      </c>
      <c r="BC315" s="10">
        <f t="shared" si="423"/>
        <v>0</v>
      </c>
      <c r="BD315" s="10"/>
      <c r="BE315" s="26">
        <f t="shared" si="388"/>
        <v>0</v>
      </c>
      <c r="BF315" s="104">
        <f t="shared" si="388"/>
        <v>0</v>
      </c>
      <c r="BG315" s="104"/>
      <c r="BH315" s="104">
        <f t="shared" si="389"/>
        <v>0</v>
      </c>
      <c r="BI315" s="104"/>
      <c r="BJ315" s="104">
        <f t="shared" si="390"/>
        <v>0</v>
      </c>
      <c r="BK315" s="104"/>
      <c r="BL315" s="104"/>
      <c r="BM315" s="104"/>
      <c r="BN315" s="104" t="s">
        <v>1299</v>
      </c>
      <c r="BO315" s="104" t="s">
        <v>1702</v>
      </c>
      <c r="BP315" s="104" t="s">
        <v>692</v>
      </c>
      <c r="BQ315" s="104" t="s">
        <v>626</v>
      </c>
      <c r="BR315" s="104" t="s">
        <v>573</v>
      </c>
      <c r="BS315" s="104" t="s">
        <v>586</v>
      </c>
      <c r="BT315" s="55" t="s">
        <v>11</v>
      </c>
    </row>
    <row r="316" spans="1:77" s="3" customFormat="1" ht="87.75" customHeight="1" outlineLevel="1" x14ac:dyDescent="0.25">
      <c r="A316" s="106"/>
      <c r="B316" s="59">
        <v>42</v>
      </c>
      <c r="C316" s="67" t="s">
        <v>1330</v>
      </c>
      <c r="D316" s="104" t="s">
        <v>694</v>
      </c>
      <c r="E316" s="104">
        <v>2016</v>
      </c>
      <c r="F316" s="104">
        <v>183221.1</v>
      </c>
      <c r="G316" s="104">
        <v>178341</v>
      </c>
      <c r="H316" s="104"/>
      <c r="I316" s="104"/>
      <c r="J316" s="104"/>
      <c r="K316" s="104"/>
      <c r="L316" s="104"/>
      <c r="M316" s="104">
        <v>0</v>
      </c>
      <c r="N316" s="104">
        <f t="shared" si="415"/>
        <v>0</v>
      </c>
      <c r="O316" s="104">
        <v>160507</v>
      </c>
      <c r="P316" s="104">
        <v>1</v>
      </c>
      <c r="Q316" s="26">
        <v>0</v>
      </c>
      <c r="R316" s="104">
        <v>0</v>
      </c>
      <c r="S316" s="104">
        <f t="shared" si="421"/>
        <v>0</v>
      </c>
      <c r="T316" s="104"/>
      <c r="U316" s="26">
        <f t="shared" si="424"/>
        <v>0</v>
      </c>
      <c r="V316" s="113">
        <f t="shared" si="424"/>
        <v>0</v>
      </c>
      <c r="W316" s="113"/>
      <c r="X316" s="113">
        <f t="shared" si="425"/>
        <v>0</v>
      </c>
      <c r="Y316" s="113"/>
      <c r="Z316" s="113">
        <f t="shared" si="426"/>
        <v>0</v>
      </c>
      <c r="AA316" s="118">
        <v>0</v>
      </c>
      <c r="AB316" s="122"/>
      <c r="AC316" s="26">
        <f t="shared" si="420"/>
        <v>0</v>
      </c>
      <c r="AD316" s="104">
        <f t="shared" si="420"/>
        <v>0</v>
      </c>
      <c r="AE316" s="104"/>
      <c r="AF316" s="104">
        <f t="shared" si="413"/>
        <v>0</v>
      </c>
      <c r="AG316" s="104"/>
      <c r="AH316" s="104">
        <f t="shared" si="414"/>
        <v>0</v>
      </c>
      <c r="AI316" s="104">
        <f t="shared" si="416"/>
        <v>0</v>
      </c>
      <c r="AJ316" s="104"/>
      <c r="AK316" s="104"/>
      <c r="AL316" s="104">
        <v>160507</v>
      </c>
      <c r="AM316" s="104">
        <v>1</v>
      </c>
      <c r="AN316" s="104">
        <f t="shared" si="422"/>
        <v>0</v>
      </c>
      <c r="AO316" s="104"/>
      <c r="AP316" s="113">
        <f t="shared" si="417"/>
        <v>0</v>
      </c>
      <c r="AQ316" s="113"/>
      <c r="AR316" s="34">
        <f t="shared" si="419"/>
        <v>160507</v>
      </c>
      <c r="AS316" s="10">
        <f t="shared" si="419"/>
        <v>1</v>
      </c>
      <c r="AT316" s="10"/>
      <c r="AU316" s="10">
        <f t="shared" si="392"/>
        <v>0</v>
      </c>
      <c r="AV316" s="10">
        <v>160507</v>
      </c>
      <c r="AW316" s="10">
        <f t="shared" si="393"/>
        <v>1</v>
      </c>
      <c r="AX316" s="10">
        <f t="shared" si="418"/>
        <v>17834.111111111109</v>
      </c>
      <c r="AY316" s="10">
        <v>1</v>
      </c>
      <c r="AZ316" s="10"/>
      <c r="BA316" s="10">
        <v>0</v>
      </c>
      <c r="BB316" s="10">
        <v>0</v>
      </c>
      <c r="BC316" s="10">
        <f t="shared" si="423"/>
        <v>0</v>
      </c>
      <c r="BD316" s="10"/>
      <c r="BE316" s="26">
        <f t="shared" si="388"/>
        <v>0</v>
      </c>
      <c r="BF316" s="104">
        <f t="shared" si="388"/>
        <v>0</v>
      </c>
      <c r="BG316" s="104"/>
      <c r="BH316" s="104">
        <f t="shared" si="389"/>
        <v>0</v>
      </c>
      <c r="BI316" s="104"/>
      <c r="BJ316" s="104">
        <f t="shared" si="390"/>
        <v>0</v>
      </c>
      <c r="BK316" s="104"/>
      <c r="BL316" s="104"/>
      <c r="BM316" s="104"/>
      <c r="BN316" s="104" t="s">
        <v>693</v>
      </c>
      <c r="BO316" s="104" t="s">
        <v>1702</v>
      </c>
      <c r="BP316" s="104" t="s">
        <v>695</v>
      </c>
      <c r="BQ316" s="104" t="s">
        <v>629</v>
      </c>
      <c r="BR316" s="104" t="s">
        <v>630</v>
      </c>
      <c r="BS316" s="104" t="s">
        <v>575</v>
      </c>
      <c r="BT316" s="55" t="s">
        <v>11</v>
      </c>
    </row>
    <row r="317" spans="1:77" s="3" customFormat="1" ht="89.25" customHeight="1" outlineLevel="1" x14ac:dyDescent="0.25">
      <c r="A317" s="106"/>
      <c r="B317" s="59">
        <v>43</v>
      </c>
      <c r="C317" s="67" t="s">
        <v>1331</v>
      </c>
      <c r="D317" s="104" t="s">
        <v>696</v>
      </c>
      <c r="E317" s="104">
        <v>2016</v>
      </c>
      <c r="F317" s="104">
        <v>108537</v>
      </c>
      <c r="G317" s="104">
        <v>101180</v>
      </c>
      <c r="H317" s="104"/>
      <c r="I317" s="104"/>
      <c r="J317" s="104"/>
      <c r="K317" s="104"/>
      <c r="L317" s="104"/>
      <c r="M317" s="104">
        <v>0</v>
      </c>
      <c r="N317" s="104">
        <f t="shared" si="415"/>
        <v>0</v>
      </c>
      <c r="O317" s="104">
        <v>91062</v>
      </c>
      <c r="P317" s="104">
        <v>1</v>
      </c>
      <c r="Q317" s="26">
        <v>0</v>
      </c>
      <c r="R317" s="104">
        <v>0</v>
      </c>
      <c r="S317" s="104">
        <f t="shared" si="421"/>
        <v>0</v>
      </c>
      <c r="T317" s="104"/>
      <c r="U317" s="26">
        <f t="shared" si="424"/>
        <v>0</v>
      </c>
      <c r="V317" s="113">
        <f t="shared" si="424"/>
        <v>0</v>
      </c>
      <c r="W317" s="113"/>
      <c r="X317" s="113">
        <f t="shared" si="425"/>
        <v>0</v>
      </c>
      <c r="Y317" s="113"/>
      <c r="Z317" s="113">
        <f t="shared" si="426"/>
        <v>0</v>
      </c>
      <c r="AA317" s="118">
        <v>0</v>
      </c>
      <c r="AB317" s="122"/>
      <c r="AC317" s="26">
        <f t="shared" si="420"/>
        <v>0</v>
      </c>
      <c r="AD317" s="104">
        <f t="shared" si="420"/>
        <v>0</v>
      </c>
      <c r="AE317" s="104"/>
      <c r="AF317" s="104">
        <f t="shared" si="413"/>
        <v>0</v>
      </c>
      <c r="AG317" s="104"/>
      <c r="AH317" s="104">
        <f t="shared" si="414"/>
        <v>0</v>
      </c>
      <c r="AI317" s="104">
        <f t="shared" si="416"/>
        <v>0</v>
      </c>
      <c r="AJ317" s="104"/>
      <c r="AK317" s="104"/>
      <c r="AL317" s="104">
        <v>91062</v>
      </c>
      <c r="AM317" s="104">
        <v>1</v>
      </c>
      <c r="AN317" s="104">
        <f t="shared" si="422"/>
        <v>0</v>
      </c>
      <c r="AO317" s="104"/>
      <c r="AP317" s="113">
        <f t="shared" si="417"/>
        <v>0</v>
      </c>
      <c r="AQ317" s="113"/>
      <c r="AR317" s="34">
        <f t="shared" si="419"/>
        <v>91062</v>
      </c>
      <c r="AS317" s="10">
        <f t="shared" si="419"/>
        <v>1</v>
      </c>
      <c r="AT317" s="10"/>
      <c r="AU317" s="10">
        <f t="shared" si="392"/>
        <v>0</v>
      </c>
      <c r="AV317" s="10">
        <v>91062</v>
      </c>
      <c r="AW317" s="10">
        <f t="shared" si="393"/>
        <v>1</v>
      </c>
      <c r="AX317" s="10">
        <f t="shared" si="418"/>
        <v>10118</v>
      </c>
      <c r="AY317" s="10">
        <v>1</v>
      </c>
      <c r="AZ317" s="10"/>
      <c r="BA317" s="10">
        <v>0</v>
      </c>
      <c r="BB317" s="10">
        <v>0</v>
      </c>
      <c r="BC317" s="10">
        <f t="shared" si="423"/>
        <v>0</v>
      </c>
      <c r="BD317" s="10"/>
      <c r="BE317" s="26">
        <f t="shared" ref="BE317:BF324" si="427">BG317+BI317</f>
        <v>0</v>
      </c>
      <c r="BF317" s="104">
        <f t="shared" si="427"/>
        <v>0</v>
      </c>
      <c r="BG317" s="104"/>
      <c r="BH317" s="104">
        <f t="shared" ref="BH317:BH324" si="428">IF(BG317,1,0)</f>
        <v>0</v>
      </c>
      <c r="BI317" s="104"/>
      <c r="BJ317" s="104">
        <f t="shared" ref="BJ317:BJ324" si="429">IF(BI317,1,0)</f>
        <v>0</v>
      </c>
      <c r="BK317" s="104"/>
      <c r="BL317" s="104"/>
      <c r="BM317" s="104"/>
      <c r="BN317" s="104" t="s">
        <v>697</v>
      </c>
      <c r="BO317" s="104" t="s">
        <v>1707</v>
      </c>
      <c r="BP317" s="104" t="s">
        <v>698</v>
      </c>
      <c r="BQ317" s="104" t="s">
        <v>594</v>
      </c>
      <c r="BR317" s="104" t="s">
        <v>583</v>
      </c>
      <c r="BS317" s="104" t="s">
        <v>586</v>
      </c>
      <c r="BT317" s="55" t="s">
        <v>11</v>
      </c>
    </row>
    <row r="318" spans="1:77" ht="103.5" customHeight="1" outlineLevel="1" x14ac:dyDescent="0.25">
      <c r="A318" s="106"/>
      <c r="B318" s="59">
        <v>44</v>
      </c>
      <c r="C318" s="67" t="s">
        <v>1332</v>
      </c>
      <c r="D318" s="104" t="s">
        <v>716</v>
      </c>
      <c r="E318" s="104">
        <v>2016</v>
      </c>
      <c r="F318" s="104">
        <v>88351</v>
      </c>
      <c r="G318" s="104">
        <v>81782</v>
      </c>
      <c r="H318" s="104"/>
      <c r="I318" s="104"/>
      <c r="J318" s="104"/>
      <c r="K318" s="104">
        <v>1</v>
      </c>
      <c r="L318" s="104"/>
      <c r="M318" s="104">
        <v>0</v>
      </c>
      <c r="N318" s="104">
        <f t="shared" si="415"/>
        <v>0</v>
      </c>
      <c r="O318" s="104">
        <v>73604</v>
      </c>
      <c r="P318" s="104">
        <v>1</v>
      </c>
      <c r="Q318" s="26">
        <v>0</v>
      </c>
      <c r="R318" s="104">
        <v>0</v>
      </c>
      <c r="S318" s="104">
        <f t="shared" si="421"/>
        <v>0</v>
      </c>
      <c r="T318" s="104"/>
      <c r="U318" s="26">
        <f t="shared" si="424"/>
        <v>0</v>
      </c>
      <c r="V318" s="113">
        <f t="shared" si="424"/>
        <v>0</v>
      </c>
      <c r="W318" s="113"/>
      <c r="X318" s="113">
        <f t="shared" si="425"/>
        <v>0</v>
      </c>
      <c r="Y318" s="113"/>
      <c r="Z318" s="113">
        <f t="shared" si="426"/>
        <v>0</v>
      </c>
      <c r="AA318" s="118">
        <v>0</v>
      </c>
      <c r="AB318" s="122"/>
      <c r="AC318" s="26">
        <f t="shared" si="420"/>
        <v>0</v>
      </c>
      <c r="AD318" s="104">
        <f t="shared" si="420"/>
        <v>0</v>
      </c>
      <c r="AE318" s="104"/>
      <c r="AF318" s="104">
        <f t="shared" si="413"/>
        <v>0</v>
      </c>
      <c r="AG318" s="104"/>
      <c r="AH318" s="104">
        <f t="shared" si="414"/>
        <v>0</v>
      </c>
      <c r="AI318" s="104">
        <f t="shared" si="416"/>
        <v>0</v>
      </c>
      <c r="AJ318" s="104"/>
      <c r="AK318" s="104"/>
      <c r="AL318" s="104">
        <v>73605</v>
      </c>
      <c r="AM318" s="104">
        <v>1</v>
      </c>
      <c r="AN318" s="104">
        <f t="shared" si="422"/>
        <v>0</v>
      </c>
      <c r="AO318" s="104"/>
      <c r="AP318" s="113">
        <f t="shared" si="417"/>
        <v>0</v>
      </c>
      <c r="AQ318" s="113"/>
      <c r="AR318" s="34">
        <f t="shared" si="419"/>
        <v>73605</v>
      </c>
      <c r="AS318" s="10">
        <f t="shared" si="419"/>
        <v>1</v>
      </c>
      <c r="AT318" s="10"/>
      <c r="AU318" s="10">
        <f t="shared" ref="AU318:AU324" si="430">IF(AT318,1,0)</f>
        <v>0</v>
      </c>
      <c r="AV318" s="10">
        <v>73605</v>
      </c>
      <c r="AW318" s="10">
        <f t="shared" ref="AW318:AW324" si="431">IF(AV318,1,0)</f>
        <v>1</v>
      </c>
      <c r="AX318" s="10">
        <f t="shared" si="418"/>
        <v>8178.333333333333</v>
      </c>
      <c r="AY318" s="10">
        <v>1</v>
      </c>
      <c r="AZ318" s="10"/>
      <c r="BA318" s="10">
        <v>0</v>
      </c>
      <c r="BB318" s="10">
        <v>0</v>
      </c>
      <c r="BC318" s="10">
        <f t="shared" si="423"/>
        <v>0</v>
      </c>
      <c r="BD318" s="10"/>
      <c r="BE318" s="26">
        <f t="shared" si="427"/>
        <v>0</v>
      </c>
      <c r="BF318" s="104">
        <f t="shared" si="427"/>
        <v>0</v>
      </c>
      <c r="BG318" s="104"/>
      <c r="BH318" s="104">
        <f t="shared" si="428"/>
        <v>0</v>
      </c>
      <c r="BI318" s="104"/>
      <c r="BJ318" s="104">
        <f t="shared" si="429"/>
        <v>0</v>
      </c>
      <c r="BK318" s="104"/>
      <c r="BL318" s="104"/>
      <c r="BM318" s="104"/>
      <c r="BN318" s="104" t="s">
        <v>717</v>
      </c>
      <c r="BO318" s="104" t="s">
        <v>1707</v>
      </c>
      <c r="BP318" s="104" t="s">
        <v>718</v>
      </c>
      <c r="BQ318" s="104" t="s">
        <v>620</v>
      </c>
      <c r="BR318" s="104" t="s">
        <v>614</v>
      </c>
      <c r="BS318" s="104" t="s">
        <v>690</v>
      </c>
      <c r="BT318" s="55" t="s">
        <v>11</v>
      </c>
    </row>
    <row r="319" spans="1:77" ht="85.5" customHeight="1" outlineLevel="1" x14ac:dyDescent="0.25">
      <c r="A319" s="106"/>
      <c r="B319" s="59">
        <v>45</v>
      </c>
      <c r="C319" s="67" t="s">
        <v>1304</v>
      </c>
      <c r="D319" s="104" t="s">
        <v>719</v>
      </c>
      <c r="E319" s="104">
        <v>2016</v>
      </c>
      <c r="F319" s="104">
        <v>161828.51</v>
      </c>
      <c r="G319" s="104">
        <v>157576</v>
      </c>
      <c r="H319" s="104"/>
      <c r="I319" s="104"/>
      <c r="J319" s="104"/>
      <c r="K319" s="104"/>
      <c r="L319" s="104"/>
      <c r="M319" s="104">
        <v>0</v>
      </c>
      <c r="N319" s="104">
        <f t="shared" si="415"/>
        <v>0</v>
      </c>
      <c r="O319" s="104">
        <v>141818</v>
      </c>
      <c r="P319" s="104">
        <v>1</v>
      </c>
      <c r="Q319" s="26">
        <v>0</v>
      </c>
      <c r="R319" s="104">
        <v>0</v>
      </c>
      <c r="S319" s="104">
        <f t="shared" si="421"/>
        <v>0</v>
      </c>
      <c r="T319" s="104"/>
      <c r="U319" s="26">
        <f t="shared" si="424"/>
        <v>0</v>
      </c>
      <c r="V319" s="113">
        <f t="shared" si="424"/>
        <v>0</v>
      </c>
      <c r="W319" s="113"/>
      <c r="X319" s="113">
        <f t="shared" si="425"/>
        <v>0</v>
      </c>
      <c r="Y319" s="113"/>
      <c r="Z319" s="113">
        <f t="shared" si="426"/>
        <v>0</v>
      </c>
      <c r="AA319" s="118">
        <v>0</v>
      </c>
      <c r="AB319" s="122"/>
      <c r="AC319" s="26">
        <f t="shared" si="420"/>
        <v>0</v>
      </c>
      <c r="AD319" s="104">
        <f t="shared" si="420"/>
        <v>0</v>
      </c>
      <c r="AE319" s="104"/>
      <c r="AF319" s="104">
        <f t="shared" si="413"/>
        <v>0</v>
      </c>
      <c r="AG319" s="104"/>
      <c r="AH319" s="104">
        <f t="shared" si="414"/>
        <v>0</v>
      </c>
      <c r="AI319" s="104">
        <f t="shared" si="416"/>
        <v>0</v>
      </c>
      <c r="AJ319" s="104"/>
      <c r="AK319" s="104"/>
      <c r="AL319" s="104">
        <v>141818</v>
      </c>
      <c r="AM319" s="104">
        <v>1</v>
      </c>
      <c r="AN319" s="104">
        <f t="shared" si="422"/>
        <v>0</v>
      </c>
      <c r="AO319" s="104"/>
      <c r="AP319" s="113">
        <f t="shared" si="417"/>
        <v>0</v>
      </c>
      <c r="AQ319" s="113"/>
      <c r="AR319" s="34">
        <f t="shared" si="419"/>
        <v>141818</v>
      </c>
      <c r="AS319" s="10">
        <f t="shared" si="419"/>
        <v>1</v>
      </c>
      <c r="AT319" s="10"/>
      <c r="AU319" s="10">
        <f t="shared" si="430"/>
        <v>0</v>
      </c>
      <c r="AV319" s="10">
        <v>141818</v>
      </c>
      <c r="AW319" s="10">
        <f t="shared" si="431"/>
        <v>1</v>
      </c>
      <c r="AX319" s="10">
        <f t="shared" si="418"/>
        <v>15757.555555555557</v>
      </c>
      <c r="AY319" s="10">
        <v>1</v>
      </c>
      <c r="AZ319" s="10"/>
      <c r="BA319" s="10">
        <v>0</v>
      </c>
      <c r="BB319" s="10">
        <v>0</v>
      </c>
      <c r="BC319" s="10">
        <f t="shared" si="423"/>
        <v>0</v>
      </c>
      <c r="BD319" s="10"/>
      <c r="BE319" s="26">
        <f t="shared" si="427"/>
        <v>0</v>
      </c>
      <c r="BF319" s="104">
        <f t="shared" si="427"/>
        <v>0</v>
      </c>
      <c r="BG319" s="104"/>
      <c r="BH319" s="104">
        <f t="shared" si="428"/>
        <v>0</v>
      </c>
      <c r="BI319" s="104"/>
      <c r="BJ319" s="104">
        <f t="shared" si="429"/>
        <v>0</v>
      </c>
      <c r="BK319" s="104"/>
      <c r="BL319" s="104"/>
      <c r="BM319" s="104"/>
      <c r="BN319" s="104" t="s">
        <v>720</v>
      </c>
      <c r="BO319" s="104" t="s">
        <v>1708</v>
      </c>
      <c r="BP319" s="104" t="s">
        <v>721</v>
      </c>
      <c r="BQ319" s="104" t="s">
        <v>629</v>
      </c>
      <c r="BR319" s="104" t="s">
        <v>630</v>
      </c>
      <c r="BS319" s="104" t="s">
        <v>586</v>
      </c>
      <c r="BT319" s="55" t="s">
        <v>11</v>
      </c>
    </row>
    <row r="320" spans="1:77" s="35" customFormat="1" ht="11.25" x14ac:dyDescent="0.25">
      <c r="A320" s="48"/>
      <c r="B320" s="57">
        <v>3</v>
      </c>
      <c r="C320" s="26" t="s">
        <v>543</v>
      </c>
      <c r="D320" s="26"/>
      <c r="E320" s="26"/>
      <c r="F320" s="26">
        <f>F321</f>
        <v>796818</v>
      </c>
      <c r="G320" s="26">
        <f t="shared" ref="G320:BT320" si="432">G321</f>
        <v>787445.61</v>
      </c>
      <c r="H320" s="104"/>
      <c r="I320" s="104"/>
      <c r="J320" s="104"/>
      <c r="K320" s="104"/>
      <c r="L320" s="104"/>
      <c r="M320" s="26">
        <f t="shared" si="432"/>
        <v>0</v>
      </c>
      <c r="N320" s="26">
        <f t="shared" si="432"/>
        <v>0</v>
      </c>
      <c r="O320" s="26">
        <v>357831</v>
      </c>
      <c r="P320" s="26">
        <v>2</v>
      </c>
      <c r="Q320" s="26">
        <v>357831</v>
      </c>
      <c r="R320" s="26">
        <v>2</v>
      </c>
      <c r="S320" s="26">
        <f t="shared" si="432"/>
        <v>357831</v>
      </c>
      <c r="T320" s="26">
        <f t="shared" si="432"/>
        <v>0</v>
      </c>
      <c r="U320" s="26">
        <f t="shared" si="432"/>
        <v>357831</v>
      </c>
      <c r="V320" s="26">
        <f t="shared" si="432"/>
        <v>2</v>
      </c>
      <c r="W320" s="26">
        <f t="shared" si="432"/>
        <v>0</v>
      </c>
      <c r="X320" s="26">
        <f t="shared" si="432"/>
        <v>0</v>
      </c>
      <c r="Y320" s="26">
        <f t="shared" si="432"/>
        <v>357831</v>
      </c>
      <c r="Z320" s="26">
        <f t="shared" si="432"/>
        <v>2</v>
      </c>
      <c r="AA320" s="26">
        <f t="shared" si="432"/>
        <v>-357831</v>
      </c>
      <c r="AB320" s="26">
        <f t="shared" si="432"/>
        <v>0</v>
      </c>
      <c r="AC320" s="26">
        <f t="shared" si="432"/>
        <v>0</v>
      </c>
      <c r="AD320" s="26">
        <f t="shared" si="432"/>
        <v>0</v>
      </c>
      <c r="AE320" s="26">
        <f t="shared" si="432"/>
        <v>0</v>
      </c>
      <c r="AF320" s="26">
        <f t="shared" si="432"/>
        <v>0</v>
      </c>
      <c r="AG320" s="26">
        <f t="shared" si="432"/>
        <v>0</v>
      </c>
      <c r="AH320" s="26">
        <f t="shared" si="432"/>
        <v>0</v>
      </c>
      <c r="AI320" s="26">
        <f t="shared" si="432"/>
        <v>0</v>
      </c>
      <c r="AJ320" s="26">
        <f t="shared" si="432"/>
        <v>2</v>
      </c>
      <c r="AK320" s="26">
        <f t="shared" si="432"/>
        <v>0</v>
      </c>
      <c r="AL320" s="26">
        <f t="shared" si="432"/>
        <v>250870</v>
      </c>
      <c r="AM320" s="26">
        <f t="shared" si="432"/>
        <v>1</v>
      </c>
      <c r="AN320" s="26">
        <f t="shared" si="432"/>
        <v>-357831</v>
      </c>
      <c r="AO320" s="26">
        <f t="shared" si="432"/>
        <v>0</v>
      </c>
      <c r="AP320" s="26">
        <f t="shared" si="432"/>
        <v>357831</v>
      </c>
      <c r="AQ320" s="26">
        <f t="shared" si="432"/>
        <v>0</v>
      </c>
      <c r="AR320" s="26">
        <f t="shared" si="432"/>
        <v>608701</v>
      </c>
      <c r="AS320" s="26">
        <f t="shared" si="432"/>
        <v>3</v>
      </c>
      <c r="AT320" s="26">
        <f t="shared" si="432"/>
        <v>250870</v>
      </c>
      <c r="AU320" s="26">
        <f t="shared" si="432"/>
        <v>1</v>
      </c>
      <c r="AV320" s="26">
        <f t="shared" si="432"/>
        <v>357831</v>
      </c>
      <c r="AW320" s="26">
        <f t="shared" si="432"/>
        <v>2</v>
      </c>
      <c r="AX320" s="26">
        <f t="shared" si="432"/>
        <v>67633.444444444438</v>
      </c>
      <c r="AY320" s="26">
        <f t="shared" si="432"/>
        <v>1</v>
      </c>
      <c r="AZ320" s="26">
        <f t="shared" si="432"/>
        <v>0</v>
      </c>
      <c r="BA320" s="26">
        <v>2619000</v>
      </c>
      <c r="BB320" s="26">
        <v>16</v>
      </c>
      <c r="BC320" s="10">
        <f t="shared" si="423"/>
        <v>2619000</v>
      </c>
      <c r="BD320" s="26"/>
      <c r="BE320" s="26">
        <f t="shared" si="432"/>
        <v>0</v>
      </c>
      <c r="BF320" s="26">
        <f t="shared" si="432"/>
        <v>0</v>
      </c>
      <c r="BG320" s="26">
        <f t="shared" si="432"/>
        <v>0</v>
      </c>
      <c r="BH320" s="26">
        <f t="shared" si="432"/>
        <v>0</v>
      </c>
      <c r="BI320" s="26">
        <f t="shared" si="432"/>
        <v>0</v>
      </c>
      <c r="BJ320" s="26">
        <f t="shared" si="432"/>
        <v>0</v>
      </c>
      <c r="BK320" s="26">
        <f t="shared" si="432"/>
        <v>0</v>
      </c>
      <c r="BL320" s="26">
        <f t="shared" si="432"/>
        <v>0</v>
      </c>
      <c r="BM320" s="26">
        <f t="shared" si="432"/>
        <v>0</v>
      </c>
      <c r="BN320" s="26">
        <f t="shared" si="432"/>
        <v>0</v>
      </c>
      <c r="BO320" s="26">
        <f t="shared" si="432"/>
        <v>0</v>
      </c>
      <c r="BP320" s="26">
        <f t="shared" si="432"/>
        <v>0</v>
      </c>
      <c r="BQ320" s="26">
        <f t="shared" si="432"/>
        <v>0</v>
      </c>
      <c r="BR320" s="26">
        <f t="shared" si="432"/>
        <v>0</v>
      </c>
      <c r="BS320" s="26">
        <f t="shared" si="432"/>
        <v>0</v>
      </c>
      <c r="BT320" s="58">
        <f t="shared" si="432"/>
        <v>0</v>
      </c>
      <c r="BU320" s="25"/>
      <c r="BV320" s="25"/>
      <c r="BW320" s="25"/>
      <c r="BX320" s="25"/>
      <c r="BY320" s="25"/>
    </row>
    <row r="321" spans="1:72" ht="11.25" outlineLevel="1" x14ac:dyDescent="0.25">
      <c r="A321" s="106"/>
      <c r="B321" s="64">
        <v>3</v>
      </c>
      <c r="C321" s="38" t="s">
        <v>198</v>
      </c>
      <c r="D321" s="32"/>
      <c r="E321" s="32"/>
      <c r="F321" s="104">
        <f>SUM(F322:F324)</f>
        <v>796818</v>
      </c>
      <c r="G321" s="104">
        <f>SUM(G322:G324)</f>
        <v>787445.61</v>
      </c>
      <c r="H321" s="104"/>
      <c r="I321" s="104"/>
      <c r="J321" s="104"/>
      <c r="K321" s="104"/>
      <c r="L321" s="104"/>
      <c r="M321" s="104">
        <f>SUM(M322:M324)</f>
        <v>0</v>
      </c>
      <c r="N321" s="104">
        <f>SUM(N322:N324)</f>
        <v>0</v>
      </c>
      <c r="O321" s="104">
        <v>357831</v>
      </c>
      <c r="P321" s="104">
        <v>2</v>
      </c>
      <c r="Q321" s="26">
        <v>357831</v>
      </c>
      <c r="R321" s="104">
        <v>2</v>
      </c>
      <c r="S321" s="26">
        <f t="shared" ref="S321:AI321" si="433">SUM(S322:S324)</f>
        <v>357831</v>
      </c>
      <c r="T321" s="26">
        <f t="shared" si="433"/>
        <v>0</v>
      </c>
      <c r="U321" s="26">
        <f t="shared" ref="U321:V321" si="434">SUM(U322:U324)</f>
        <v>357831</v>
      </c>
      <c r="V321" s="67">
        <f t="shared" si="434"/>
        <v>2</v>
      </c>
      <c r="W321" s="67">
        <f t="shared" ref="W321:Z321" si="435">SUM(W322:W324)</f>
        <v>0</v>
      </c>
      <c r="X321" s="67">
        <f t="shared" si="435"/>
        <v>0</v>
      </c>
      <c r="Y321" s="67">
        <f t="shared" si="435"/>
        <v>357831</v>
      </c>
      <c r="Z321" s="67">
        <f t="shared" si="435"/>
        <v>2</v>
      </c>
      <c r="AA321" s="67">
        <f t="shared" ref="AA321:AB321" si="436">SUM(AA322:AA324)</f>
        <v>-357831</v>
      </c>
      <c r="AB321" s="67">
        <f t="shared" si="436"/>
        <v>0</v>
      </c>
      <c r="AC321" s="26">
        <f t="shared" si="433"/>
        <v>0</v>
      </c>
      <c r="AD321" s="104">
        <f t="shared" si="433"/>
        <v>0</v>
      </c>
      <c r="AE321" s="104">
        <f t="shared" si="433"/>
        <v>0</v>
      </c>
      <c r="AF321" s="104">
        <f t="shared" si="433"/>
        <v>0</v>
      </c>
      <c r="AG321" s="104">
        <f t="shared" si="433"/>
        <v>0</v>
      </c>
      <c r="AH321" s="104">
        <f t="shared" si="433"/>
        <v>0</v>
      </c>
      <c r="AI321" s="104">
        <f t="shared" si="433"/>
        <v>0</v>
      </c>
      <c r="AJ321" s="113">
        <f t="shared" ref="AJ321:AQ321" si="437">SUM(AJ322:AJ324)</f>
        <v>2</v>
      </c>
      <c r="AK321" s="113">
        <f t="shared" si="437"/>
        <v>0</v>
      </c>
      <c r="AL321" s="113">
        <f t="shared" si="437"/>
        <v>250870</v>
      </c>
      <c r="AM321" s="113">
        <f t="shared" si="437"/>
        <v>1</v>
      </c>
      <c r="AN321" s="113">
        <f t="shared" si="437"/>
        <v>-357831</v>
      </c>
      <c r="AO321" s="113">
        <f t="shared" si="437"/>
        <v>0</v>
      </c>
      <c r="AP321" s="113">
        <f t="shared" si="437"/>
        <v>357831</v>
      </c>
      <c r="AQ321" s="113">
        <f t="shared" si="437"/>
        <v>0</v>
      </c>
      <c r="AR321" s="26">
        <f t="shared" ref="AR321:AZ321" si="438">SUM(AR322:AR324)</f>
        <v>608701</v>
      </c>
      <c r="AS321" s="104">
        <f t="shared" si="438"/>
        <v>3</v>
      </c>
      <c r="AT321" s="104">
        <f t="shared" si="438"/>
        <v>250870</v>
      </c>
      <c r="AU321" s="104">
        <f t="shared" si="438"/>
        <v>1</v>
      </c>
      <c r="AV321" s="104">
        <f t="shared" si="438"/>
        <v>357831</v>
      </c>
      <c r="AW321" s="104">
        <f t="shared" si="438"/>
        <v>2</v>
      </c>
      <c r="AX321" s="104">
        <f t="shared" si="438"/>
        <v>67633.444444444438</v>
      </c>
      <c r="AY321" s="104">
        <f t="shared" si="438"/>
        <v>1</v>
      </c>
      <c r="AZ321" s="104">
        <f t="shared" si="438"/>
        <v>0</v>
      </c>
      <c r="BA321" s="104">
        <v>2619000</v>
      </c>
      <c r="BB321" s="104">
        <v>16</v>
      </c>
      <c r="BC321" s="10">
        <f t="shared" si="423"/>
        <v>2619000</v>
      </c>
      <c r="BD321" s="104"/>
      <c r="BE321" s="26">
        <f t="shared" ref="BE321:BT321" si="439">SUM(BE322:BE324)</f>
        <v>0</v>
      </c>
      <c r="BF321" s="104">
        <f t="shared" si="439"/>
        <v>0</v>
      </c>
      <c r="BG321" s="104">
        <f t="shared" si="439"/>
        <v>0</v>
      </c>
      <c r="BH321" s="104">
        <f t="shared" si="439"/>
        <v>0</v>
      </c>
      <c r="BI321" s="104">
        <f t="shared" si="439"/>
        <v>0</v>
      </c>
      <c r="BJ321" s="104">
        <f t="shared" si="439"/>
        <v>0</v>
      </c>
      <c r="BK321" s="104">
        <f t="shared" si="439"/>
        <v>0</v>
      </c>
      <c r="BL321" s="104">
        <f t="shared" si="439"/>
        <v>0</v>
      </c>
      <c r="BM321" s="104">
        <f t="shared" si="439"/>
        <v>0</v>
      </c>
      <c r="BN321" s="104">
        <f t="shared" si="439"/>
        <v>0</v>
      </c>
      <c r="BO321" s="104">
        <f t="shared" si="439"/>
        <v>0</v>
      </c>
      <c r="BP321" s="104">
        <f t="shared" si="439"/>
        <v>0</v>
      </c>
      <c r="BQ321" s="104">
        <f t="shared" si="439"/>
        <v>0</v>
      </c>
      <c r="BR321" s="104">
        <f t="shared" si="439"/>
        <v>0</v>
      </c>
      <c r="BS321" s="104">
        <f t="shared" si="439"/>
        <v>0</v>
      </c>
      <c r="BT321" s="55">
        <f t="shared" si="439"/>
        <v>0</v>
      </c>
    </row>
    <row r="322" spans="1:72" s="3" customFormat="1" ht="56.25" outlineLevel="1" x14ac:dyDescent="0.25">
      <c r="A322" s="50"/>
      <c r="B322" s="59">
        <v>1</v>
      </c>
      <c r="C322" s="32" t="s">
        <v>161</v>
      </c>
      <c r="D322" s="32" t="s">
        <v>162</v>
      </c>
      <c r="E322" s="32">
        <v>2015</v>
      </c>
      <c r="F322" s="104">
        <v>174419</v>
      </c>
      <c r="G322" s="104">
        <v>171418.61</v>
      </c>
      <c r="H322" s="104"/>
      <c r="I322" s="104"/>
      <c r="J322" s="104"/>
      <c r="K322" s="104">
        <v>1</v>
      </c>
      <c r="L322" s="104">
        <v>1</v>
      </c>
      <c r="M322" s="104">
        <v>0</v>
      </c>
      <c r="N322" s="104">
        <f>AC322+AI322</f>
        <v>0</v>
      </c>
      <c r="O322" s="104">
        <v>154277</v>
      </c>
      <c r="P322" s="104">
        <v>1</v>
      </c>
      <c r="Q322" s="26">
        <v>154277</v>
      </c>
      <c r="R322" s="104">
        <v>1</v>
      </c>
      <c r="S322" s="104">
        <f t="shared" si="421"/>
        <v>154277</v>
      </c>
      <c r="T322" s="104"/>
      <c r="U322" s="26">
        <f t="shared" ref="U322:U323" si="440">W322+Y322</f>
        <v>154277</v>
      </c>
      <c r="V322" s="113">
        <f t="shared" ref="V322:V323" si="441">IF(U322,1,0)</f>
        <v>1</v>
      </c>
      <c r="W322" s="113">
        <v>0</v>
      </c>
      <c r="X322" s="113">
        <f t="shared" ref="X322" si="442">IF(W322,1,0)</f>
        <v>0</v>
      </c>
      <c r="Y322" s="113">
        <v>154277</v>
      </c>
      <c r="Z322" s="113">
        <f t="shared" ref="Z322" si="443">IF(Y322,1,0)</f>
        <v>1</v>
      </c>
      <c r="AA322" s="118">
        <v>-154277</v>
      </c>
      <c r="AB322" s="122"/>
      <c r="AC322" s="26">
        <f t="shared" si="420"/>
        <v>0</v>
      </c>
      <c r="AD322" s="104">
        <f t="shared" ref="AD322:AD324" si="444">IF(AC322,1,0)</f>
        <v>0</v>
      </c>
      <c r="AE322" s="104">
        <v>0</v>
      </c>
      <c r="AF322" s="104">
        <f t="shared" ref="AF322:AF324" si="445">IF(AE322,1,0)</f>
        <v>0</v>
      </c>
      <c r="AG322" s="104"/>
      <c r="AH322" s="104">
        <f t="shared" ref="AH322:AH324" si="446">IF(AG322,1,0)</f>
        <v>0</v>
      </c>
      <c r="AI322" s="104">
        <f>AG322/0.9*0.1</f>
        <v>0</v>
      </c>
      <c r="AJ322" s="104">
        <v>1</v>
      </c>
      <c r="AK322" s="104"/>
      <c r="AL322" s="104">
        <v>0</v>
      </c>
      <c r="AM322" s="104">
        <v>0</v>
      </c>
      <c r="AN322" s="104">
        <f t="shared" si="422"/>
        <v>-154277</v>
      </c>
      <c r="AO322" s="104"/>
      <c r="AP322" s="113">
        <f>U322-AC322</f>
        <v>154277</v>
      </c>
      <c r="AQ322" s="113"/>
      <c r="AR322" s="34">
        <f t="shared" si="419"/>
        <v>154277</v>
      </c>
      <c r="AS322" s="28">
        <v>1</v>
      </c>
      <c r="AT322" s="28">
        <v>0</v>
      </c>
      <c r="AU322" s="28">
        <v>0</v>
      </c>
      <c r="AV322" s="28">
        <f>154277</f>
        <v>154277</v>
      </c>
      <c r="AW322" s="10">
        <f t="shared" si="431"/>
        <v>1</v>
      </c>
      <c r="AX322" s="44">
        <f>AR322/0.9*0.1</f>
        <v>17141.888888888887</v>
      </c>
      <c r="AY322" s="28"/>
      <c r="AZ322" s="28"/>
      <c r="BA322" s="28">
        <v>0</v>
      </c>
      <c r="BB322" s="28">
        <v>0</v>
      </c>
      <c r="BC322" s="10">
        <f t="shared" si="423"/>
        <v>0</v>
      </c>
      <c r="BD322" s="28"/>
      <c r="BE322" s="26">
        <f t="shared" si="427"/>
        <v>0</v>
      </c>
      <c r="BF322" s="104">
        <f t="shared" si="427"/>
        <v>0</v>
      </c>
      <c r="BG322" s="104"/>
      <c r="BH322" s="104">
        <f t="shared" si="428"/>
        <v>0</v>
      </c>
      <c r="BI322" s="104"/>
      <c r="BJ322" s="104">
        <f t="shared" si="429"/>
        <v>0</v>
      </c>
      <c r="BK322" s="104"/>
      <c r="BL322" s="104"/>
      <c r="BM322" s="104"/>
      <c r="BN322" s="104" t="s">
        <v>163</v>
      </c>
      <c r="BO322" s="104" t="s">
        <v>1506</v>
      </c>
      <c r="BP322" s="104" t="s">
        <v>166</v>
      </c>
      <c r="BQ322" s="104" t="s">
        <v>164</v>
      </c>
      <c r="BR322" s="104" t="s">
        <v>165</v>
      </c>
      <c r="BS322" s="104" t="s">
        <v>167</v>
      </c>
      <c r="BT322" s="55" t="s">
        <v>1345</v>
      </c>
    </row>
    <row r="323" spans="1:72" s="3" customFormat="1" ht="56.25" customHeight="1" outlineLevel="1" x14ac:dyDescent="0.25">
      <c r="A323" s="50"/>
      <c r="B323" s="59">
        <v>2</v>
      </c>
      <c r="C323" s="32" t="s">
        <v>1434</v>
      </c>
      <c r="D323" s="32" t="s">
        <v>1435</v>
      </c>
      <c r="E323" s="32">
        <v>2015</v>
      </c>
      <c r="F323" s="104">
        <v>226543</v>
      </c>
      <c r="G323" s="104">
        <v>226171</v>
      </c>
      <c r="H323" s="104"/>
      <c r="I323" s="104"/>
      <c r="J323" s="104"/>
      <c r="K323" s="104">
        <v>1</v>
      </c>
      <c r="L323" s="104">
        <v>1</v>
      </c>
      <c r="M323" s="104">
        <v>0</v>
      </c>
      <c r="N323" s="104">
        <f t="shared" ref="N323:N324" si="447">AC323+AI323</f>
        <v>0</v>
      </c>
      <c r="O323" s="104">
        <v>203554</v>
      </c>
      <c r="P323" s="104">
        <v>1</v>
      </c>
      <c r="Q323" s="26">
        <v>203554</v>
      </c>
      <c r="R323" s="104">
        <v>1</v>
      </c>
      <c r="S323" s="104">
        <f t="shared" si="421"/>
        <v>203554</v>
      </c>
      <c r="T323" s="104"/>
      <c r="U323" s="26">
        <f t="shared" si="440"/>
        <v>203554</v>
      </c>
      <c r="V323" s="113">
        <f t="shared" si="441"/>
        <v>1</v>
      </c>
      <c r="W323" s="113"/>
      <c r="X323" s="113"/>
      <c r="Y323" s="113">
        <v>203554</v>
      </c>
      <c r="Z323" s="113">
        <v>1</v>
      </c>
      <c r="AA323" s="118">
        <v>-203554</v>
      </c>
      <c r="AB323" s="122"/>
      <c r="AC323" s="26">
        <f t="shared" si="420"/>
        <v>0</v>
      </c>
      <c r="AD323" s="104">
        <f t="shared" si="444"/>
        <v>0</v>
      </c>
      <c r="AE323" s="104"/>
      <c r="AF323" s="104"/>
      <c r="AG323" s="104"/>
      <c r="AH323" s="104">
        <f t="shared" si="446"/>
        <v>0</v>
      </c>
      <c r="AI323" s="104">
        <f>AG323/0.9*0.1</f>
        <v>0</v>
      </c>
      <c r="AJ323" s="104">
        <v>1</v>
      </c>
      <c r="AK323" s="104"/>
      <c r="AL323" s="104">
        <v>0</v>
      </c>
      <c r="AM323" s="104">
        <v>0</v>
      </c>
      <c r="AN323" s="104">
        <f t="shared" si="422"/>
        <v>-203554</v>
      </c>
      <c r="AO323" s="104"/>
      <c r="AP323" s="113">
        <f>U323-AC323</f>
        <v>203554</v>
      </c>
      <c r="AQ323" s="113"/>
      <c r="AR323" s="34">
        <f t="shared" si="419"/>
        <v>203554</v>
      </c>
      <c r="AS323" s="10">
        <f t="shared" si="419"/>
        <v>1</v>
      </c>
      <c r="AT323" s="28"/>
      <c r="AU323" s="10">
        <f t="shared" si="430"/>
        <v>0</v>
      </c>
      <c r="AV323" s="28">
        <f>203554</f>
        <v>203554</v>
      </c>
      <c r="AW323" s="10">
        <f t="shared" si="431"/>
        <v>1</v>
      </c>
      <c r="AX323" s="44">
        <f t="shared" ref="AX323:AX324" si="448">AR323/0.9*0.1</f>
        <v>22617.111111111109</v>
      </c>
      <c r="AY323" s="28"/>
      <c r="AZ323" s="28"/>
      <c r="BA323" s="28"/>
      <c r="BB323" s="28"/>
      <c r="BC323" s="10">
        <f t="shared" si="423"/>
        <v>0</v>
      </c>
      <c r="BD323" s="28"/>
      <c r="BE323" s="26"/>
      <c r="BF323" s="104"/>
      <c r="BG323" s="104"/>
      <c r="BH323" s="104"/>
      <c r="BI323" s="104"/>
      <c r="BJ323" s="104"/>
      <c r="BK323" s="104"/>
      <c r="BL323" s="104"/>
      <c r="BM323" s="104"/>
      <c r="BN323" s="104" t="s">
        <v>1436</v>
      </c>
      <c r="BO323" s="104" t="s">
        <v>1507</v>
      </c>
      <c r="BP323" s="104" t="s">
        <v>1508</v>
      </c>
      <c r="BQ323" s="104" t="s">
        <v>1439</v>
      </c>
      <c r="BR323" s="104" t="s">
        <v>1509</v>
      </c>
      <c r="BS323" s="104" t="s">
        <v>1438</v>
      </c>
      <c r="BT323" s="55" t="s">
        <v>1437</v>
      </c>
    </row>
    <row r="324" spans="1:72" s="3" customFormat="1" ht="44.25" customHeight="1" outlineLevel="1" x14ac:dyDescent="0.25">
      <c r="A324" s="51"/>
      <c r="B324" s="59">
        <v>3</v>
      </c>
      <c r="C324" s="101" t="s">
        <v>1738</v>
      </c>
      <c r="D324" s="101" t="s">
        <v>1510</v>
      </c>
      <c r="E324" s="101" t="s">
        <v>1117</v>
      </c>
      <c r="F324" s="41">
        <v>395856</v>
      </c>
      <c r="G324" s="41">
        <v>389856</v>
      </c>
      <c r="H324" s="41"/>
      <c r="I324" s="41"/>
      <c r="J324" s="41"/>
      <c r="K324" s="41"/>
      <c r="L324" s="41"/>
      <c r="M324" s="41">
        <v>0</v>
      </c>
      <c r="N324" s="104">
        <f t="shared" si="447"/>
        <v>0</v>
      </c>
      <c r="O324" s="104">
        <v>0</v>
      </c>
      <c r="P324" s="104">
        <v>0</v>
      </c>
      <c r="Q324" s="26">
        <v>0</v>
      </c>
      <c r="R324" s="104">
        <v>0</v>
      </c>
      <c r="S324" s="104">
        <f t="shared" si="421"/>
        <v>0</v>
      </c>
      <c r="T324" s="104"/>
      <c r="U324" s="26"/>
      <c r="V324" s="113"/>
      <c r="W324" s="113"/>
      <c r="X324" s="113"/>
      <c r="Y324" s="113"/>
      <c r="Z324" s="113"/>
      <c r="AA324" s="118">
        <v>0</v>
      </c>
      <c r="AB324" s="122"/>
      <c r="AC324" s="26">
        <f t="shared" si="420"/>
        <v>0</v>
      </c>
      <c r="AD324" s="104">
        <f t="shared" si="444"/>
        <v>0</v>
      </c>
      <c r="AE324" s="41"/>
      <c r="AF324" s="104">
        <f t="shared" si="445"/>
        <v>0</v>
      </c>
      <c r="AG324" s="41">
        <v>0</v>
      </c>
      <c r="AH324" s="104">
        <f t="shared" si="446"/>
        <v>0</v>
      </c>
      <c r="AI324" s="41">
        <v>0</v>
      </c>
      <c r="AJ324" s="41"/>
      <c r="AK324" s="41"/>
      <c r="AL324" s="41">
        <v>250870</v>
      </c>
      <c r="AM324" s="41">
        <v>1</v>
      </c>
      <c r="AN324" s="104">
        <f t="shared" si="422"/>
        <v>0</v>
      </c>
      <c r="AO324" s="41"/>
      <c r="AP324" s="41"/>
      <c r="AQ324" s="41"/>
      <c r="AR324" s="34">
        <f t="shared" si="419"/>
        <v>250870</v>
      </c>
      <c r="AS324" s="10">
        <f t="shared" si="419"/>
        <v>1</v>
      </c>
      <c r="AT324" s="44">
        <v>250870</v>
      </c>
      <c r="AU324" s="10">
        <f t="shared" si="430"/>
        <v>1</v>
      </c>
      <c r="AV324" s="39"/>
      <c r="AW324" s="10">
        <f t="shared" si="431"/>
        <v>0</v>
      </c>
      <c r="AX324" s="44">
        <f t="shared" si="448"/>
        <v>27874.444444444445</v>
      </c>
      <c r="AY324" s="44">
        <v>1</v>
      </c>
      <c r="AZ324" s="44"/>
      <c r="BA324" s="44">
        <v>0</v>
      </c>
      <c r="BB324" s="44">
        <v>0</v>
      </c>
      <c r="BC324" s="10">
        <f t="shared" si="423"/>
        <v>0</v>
      </c>
      <c r="BD324" s="44"/>
      <c r="BE324" s="26">
        <f t="shared" si="427"/>
        <v>0</v>
      </c>
      <c r="BF324" s="104">
        <f t="shared" si="427"/>
        <v>0</v>
      </c>
      <c r="BG324" s="41"/>
      <c r="BH324" s="104">
        <f t="shared" si="428"/>
        <v>0</v>
      </c>
      <c r="BI324" s="41"/>
      <c r="BJ324" s="104">
        <f t="shared" si="429"/>
        <v>0</v>
      </c>
      <c r="BK324" s="41"/>
      <c r="BL324" s="41"/>
      <c r="BM324" s="41"/>
      <c r="BN324" s="41" t="s">
        <v>1712</v>
      </c>
      <c r="BO324" s="41" t="s">
        <v>266</v>
      </c>
      <c r="BP324" s="41" t="s">
        <v>1512</v>
      </c>
      <c r="BQ324" s="41" t="s">
        <v>1713</v>
      </c>
      <c r="BR324" s="41" t="s">
        <v>1511</v>
      </c>
      <c r="BS324" s="41" t="s">
        <v>266</v>
      </c>
      <c r="BT324" s="56" t="s">
        <v>266</v>
      </c>
    </row>
    <row r="325" spans="1:72" s="3" customFormat="1" ht="24.75" customHeight="1" outlineLevel="1" x14ac:dyDescent="0.25">
      <c r="A325" s="22"/>
      <c r="B325" s="91"/>
      <c r="C325" s="37"/>
      <c r="D325" s="37"/>
      <c r="E325" s="37"/>
      <c r="F325" s="92"/>
      <c r="G325" s="92"/>
      <c r="H325" s="92"/>
      <c r="I325" s="92"/>
      <c r="J325" s="92"/>
      <c r="K325" s="92"/>
      <c r="L325" s="92"/>
      <c r="M325" s="92"/>
      <c r="N325" s="36"/>
      <c r="O325" s="36"/>
      <c r="P325" s="36"/>
      <c r="Q325" s="96"/>
      <c r="R325" s="96"/>
      <c r="S325" s="96"/>
      <c r="T325" s="96"/>
      <c r="U325" s="96"/>
      <c r="V325" s="96"/>
      <c r="W325" s="96"/>
      <c r="X325" s="96"/>
      <c r="Y325" s="96"/>
      <c r="Z325" s="96"/>
      <c r="AA325" s="96"/>
      <c r="AB325" s="96"/>
      <c r="AC325" s="96"/>
      <c r="AD325" s="96"/>
      <c r="AE325" s="97"/>
      <c r="AF325" s="96"/>
      <c r="AG325" s="97"/>
      <c r="AH325" s="96"/>
      <c r="AI325" s="97"/>
      <c r="AJ325" s="97"/>
      <c r="AK325" s="97"/>
      <c r="AL325" s="97"/>
      <c r="AM325" s="97"/>
      <c r="AN325" s="97"/>
      <c r="AO325" s="97"/>
      <c r="AP325" s="97"/>
      <c r="AQ325" s="97"/>
      <c r="AR325" s="98"/>
      <c r="AS325" s="93"/>
      <c r="AT325" s="94"/>
      <c r="AU325" s="93"/>
      <c r="AV325" s="95"/>
      <c r="AW325" s="93"/>
      <c r="AX325" s="94"/>
      <c r="AY325" s="94"/>
      <c r="AZ325" s="94"/>
      <c r="BA325" s="94"/>
      <c r="BB325" s="94"/>
      <c r="BC325" s="94"/>
      <c r="BD325" s="94"/>
      <c r="BE325" s="96"/>
      <c r="BF325" s="36"/>
      <c r="BG325" s="92"/>
      <c r="BH325" s="36"/>
      <c r="BI325" s="92"/>
      <c r="BJ325" s="36"/>
      <c r="BK325" s="92"/>
      <c r="BL325" s="92"/>
      <c r="BM325" s="92"/>
      <c r="BN325" s="92"/>
      <c r="BO325" s="92"/>
      <c r="BP325" s="92"/>
      <c r="BQ325" s="92"/>
      <c r="BR325" s="92"/>
      <c r="BS325" s="92"/>
      <c r="BT325" s="92"/>
    </row>
    <row r="326" spans="1:72" s="3" customFormat="1" ht="25.5" customHeight="1" x14ac:dyDescent="0.25">
      <c r="A326" s="1"/>
      <c r="B326" s="1"/>
      <c r="C326" s="1"/>
      <c r="D326" s="1"/>
      <c r="E326" s="88" t="s">
        <v>1771</v>
      </c>
      <c r="F326" s="90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90"/>
      <c r="AD326" s="20"/>
      <c r="AE326" s="20"/>
      <c r="AF326" s="20"/>
      <c r="AG326" s="20"/>
      <c r="AH326" s="88" t="s">
        <v>1773</v>
      </c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  <c r="BE326" s="20"/>
      <c r="BF326" s="84"/>
      <c r="BG326" s="85"/>
      <c r="BH326" s="85"/>
      <c r="BI326" s="85"/>
      <c r="BJ326" s="85"/>
      <c r="BK326" s="85"/>
      <c r="BL326" s="85"/>
      <c r="BM326" s="85"/>
      <c r="BN326" s="24"/>
    </row>
    <row r="327" spans="1:72" s="3" customFormat="1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86"/>
      <c r="AT327" s="86"/>
      <c r="AU327" s="86"/>
      <c r="AV327" s="86"/>
      <c r="AW327" s="86"/>
      <c r="AX327" s="86"/>
      <c r="AY327" s="86"/>
      <c r="AZ327" s="86"/>
      <c r="BA327" s="86"/>
      <c r="BB327" s="86"/>
      <c r="BC327" s="86"/>
      <c r="BD327" s="86"/>
      <c r="BE327" s="86"/>
      <c r="BF327" s="86"/>
      <c r="BG327" s="87"/>
      <c r="BH327" s="87"/>
      <c r="BI327" s="87"/>
      <c r="BJ327" s="87"/>
      <c r="BK327" s="87"/>
      <c r="BL327" s="87"/>
      <c r="BM327" s="87"/>
      <c r="BN327" s="24"/>
    </row>
    <row r="328" spans="1:72" s="3" customFormat="1" ht="17.25" customHeight="1" x14ac:dyDescent="0.25">
      <c r="A328" s="1"/>
      <c r="B328" s="1"/>
      <c r="C328" s="1"/>
      <c r="D328" s="1"/>
      <c r="E328" s="90" t="s">
        <v>1770</v>
      </c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90" t="s">
        <v>1772</v>
      </c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  <c r="BH328" s="20"/>
      <c r="BI328" s="20"/>
      <c r="BJ328" s="20"/>
      <c r="BK328" s="20"/>
      <c r="BL328" s="20"/>
      <c r="BM328" s="20"/>
      <c r="BN328" s="24"/>
    </row>
    <row r="329" spans="1:72" s="3" customFormat="1" ht="12" customHeight="1" x14ac:dyDescent="0.25">
      <c r="A329" s="1"/>
      <c r="B329" s="1"/>
      <c r="E329" s="40"/>
      <c r="F329" s="21"/>
      <c r="G329" s="22"/>
      <c r="H329" s="22"/>
      <c r="I329" s="22"/>
      <c r="J329" s="22"/>
      <c r="K329" s="22"/>
      <c r="L329" s="22"/>
      <c r="M329" s="22"/>
      <c r="N329" s="23"/>
      <c r="O329" s="23"/>
      <c r="P329" s="40"/>
      <c r="Q329" s="83"/>
      <c r="R329" s="83"/>
      <c r="S329" s="83"/>
      <c r="T329" s="83"/>
      <c r="U329" s="83"/>
      <c r="V329" s="83"/>
      <c r="W329" s="83"/>
      <c r="X329" s="83"/>
      <c r="Y329" s="83"/>
      <c r="Z329" s="83"/>
      <c r="AA329" s="83"/>
      <c r="AB329" s="83"/>
      <c r="AC329" s="83"/>
      <c r="AD329" s="83"/>
      <c r="AE329" s="83"/>
      <c r="AF329" s="83"/>
      <c r="AG329" s="83"/>
      <c r="AH329" s="83"/>
      <c r="AI329" s="83"/>
      <c r="AJ329" s="83"/>
      <c r="AK329" s="83"/>
      <c r="AL329" s="83"/>
      <c r="AM329" s="83"/>
      <c r="AN329" s="83"/>
      <c r="AO329" s="83"/>
      <c r="AP329" s="83"/>
      <c r="AQ329" s="83"/>
      <c r="AR329" s="82"/>
      <c r="AS329" s="82"/>
      <c r="AT329" s="82"/>
      <c r="AU329" s="82"/>
      <c r="AV329" s="82"/>
      <c r="AW329" s="82"/>
      <c r="AX329" s="82"/>
      <c r="AY329" s="82"/>
      <c r="AZ329" s="82"/>
      <c r="BA329" s="82"/>
      <c r="BB329" s="82"/>
      <c r="BC329" s="82"/>
      <c r="BD329" s="82"/>
      <c r="BE329" s="82"/>
      <c r="BF329" s="82"/>
      <c r="BG329" s="65"/>
      <c r="BH329" s="65"/>
      <c r="BI329" s="65"/>
      <c r="BJ329" s="65"/>
      <c r="BK329" s="65"/>
      <c r="BL329" s="65"/>
      <c r="BM329" s="65"/>
    </row>
    <row r="330" spans="1:72" s="3" customFormat="1" ht="15" customHeight="1" x14ac:dyDescent="0.25">
      <c r="A330" s="1"/>
      <c r="B330" s="1"/>
      <c r="C330" s="1"/>
      <c r="D330" s="1"/>
      <c r="E330" s="90" t="s">
        <v>1825</v>
      </c>
      <c r="F330" s="88"/>
      <c r="G330" s="88"/>
      <c r="H330" s="88"/>
      <c r="I330" s="88"/>
      <c r="J330" s="88"/>
      <c r="K330" s="88"/>
      <c r="L330" s="88"/>
      <c r="M330" s="88"/>
      <c r="N330" s="88"/>
      <c r="O330" s="88"/>
      <c r="P330" s="88"/>
      <c r="Q330" s="89"/>
      <c r="R330" s="81"/>
      <c r="S330" s="81"/>
      <c r="T330" s="81"/>
      <c r="U330" s="81"/>
      <c r="V330" s="81"/>
      <c r="W330" s="81"/>
      <c r="X330" s="81"/>
      <c r="Y330" s="81"/>
      <c r="Z330" s="81"/>
      <c r="AA330" s="81"/>
      <c r="AB330" s="81"/>
      <c r="AC330" s="89"/>
      <c r="AD330" s="81"/>
      <c r="AE330" s="81"/>
      <c r="AF330" s="81"/>
      <c r="AG330" s="81"/>
      <c r="AH330" s="88" t="s">
        <v>1826</v>
      </c>
      <c r="AI330" s="81"/>
      <c r="AJ330" s="81"/>
      <c r="AK330" s="81"/>
      <c r="AL330" s="81"/>
      <c r="AM330" s="81"/>
      <c r="AN330" s="81"/>
      <c r="AO330" s="81"/>
      <c r="AP330" s="81"/>
      <c r="AQ330" s="81"/>
      <c r="AR330" s="86"/>
      <c r="AS330" s="65"/>
      <c r="AT330" s="65"/>
      <c r="AU330" s="65"/>
      <c r="AV330" s="65"/>
      <c r="AW330" s="65"/>
      <c r="AX330" s="65"/>
      <c r="AY330" s="65"/>
      <c r="AZ330" s="65"/>
      <c r="BA330" s="65"/>
      <c r="BB330" s="65"/>
      <c r="BC330" s="65"/>
      <c r="BD330" s="65"/>
      <c r="BE330" s="65"/>
    </row>
    <row r="331" spans="1:72" s="3" customFormat="1" ht="21.75" customHeight="1" x14ac:dyDescent="0.25">
      <c r="A331" s="1"/>
      <c r="B331" s="1"/>
      <c r="C331" s="1"/>
      <c r="D331" s="1"/>
      <c r="E331" s="1"/>
      <c r="Q331" s="65"/>
      <c r="R331" s="65"/>
      <c r="S331" s="65"/>
      <c r="T331" s="65"/>
      <c r="U331" s="65"/>
      <c r="V331" s="65"/>
      <c r="W331" s="65"/>
      <c r="X331" s="65"/>
      <c r="Y331" s="65"/>
      <c r="Z331" s="65"/>
      <c r="AA331" s="65"/>
      <c r="AB331" s="65"/>
      <c r="AC331" s="65"/>
      <c r="AD331" s="65"/>
      <c r="AE331" s="65"/>
      <c r="AF331" s="65"/>
      <c r="AG331" s="65"/>
      <c r="AH331" s="65"/>
      <c r="AI331" s="65"/>
      <c r="AJ331" s="65"/>
      <c r="AK331" s="65"/>
      <c r="AL331" s="65"/>
      <c r="AM331" s="65"/>
      <c r="AN331" s="65"/>
      <c r="AO331" s="65"/>
      <c r="AP331" s="65"/>
      <c r="AQ331" s="65"/>
      <c r="AR331" s="65"/>
      <c r="AS331" s="65"/>
      <c r="AT331" s="65"/>
      <c r="AU331" s="65"/>
      <c r="AV331" s="65"/>
      <c r="AW331" s="65"/>
      <c r="AX331" s="65"/>
      <c r="AY331" s="65"/>
      <c r="AZ331" s="65"/>
      <c r="BA331" s="65"/>
      <c r="BB331" s="65"/>
      <c r="BC331" s="65"/>
      <c r="BD331" s="65"/>
      <c r="BE331" s="65"/>
    </row>
    <row r="332" spans="1:72" s="3" customFormat="1" ht="23.25" customHeight="1" x14ac:dyDescent="0.25">
      <c r="A332" s="1"/>
      <c r="B332" s="1"/>
      <c r="C332" s="1"/>
      <c r="D332" s="1"/>
      <c r="AJ332" s="20"/>
      <c r="AK332" s="20"/>
      <c r="AL332" s="20"/>
      <c r="AM332" s="20"/>
      <c r="AN332" s="20"/>
      <c r="AO332" s="20"/>
      <c r="AP332" s="20"/>
      <c r="AQ332" s="20"/>
      <c r="AR332" s="20"/>
    </row>
    <row r="333" spans="1:72" s="3" customFormat="1" ht="61.5" customHeight="1" x14ac:dyDescent="0.25">
      <c r="A333" s="1"/>
      <c r="B333" s="1"/>
      <c r="C333" s="1"/>
      <c r="D333" s="1"/>
      <c r="E333" s="1"/>
    </row>
    <row r="334" spans="1:72" s="3" customFormat="1" ht="61.5" customHeight="1" x14ac:dyDescent="0.25">
      <c r="A334" s="1"/>
      <c r="B334" s="1"/>
      <c r="C334" s="1"/>
      <c r="D334" s="1"/>
      <c r="E334" s="1"/>
    </row>
  </sheetData>
  <autoFilter ref="B22:BT326">
    <filterColumn colId="29" showButton="0"/>
    <filterColumn colId="30" showButton="0"/>
    <filterColumn colId="31" showButton="0"/>
    <filterColumn colId="44" showButton="0"/>
    <filterColumn colId="45" showButton="0"/>
    <filterColumn colId="46" showButton="0"/>
    <filterColumn colId="57" showButton="0"/>
    <filterColumn colId="58" showButton="0"/>
    <filterColumn colId="59" showButton="0"/>
    <filterColumn colId="64" showButton="0"/>
    <filterColumn colId="65" showButton="0"/>
    <filterColumn colId="66" showButton="0"/>
    <filterColumn colId="67" showButton="0"/>
    <filterColumn colId="68" showButton="0"/>
  </autoFilter>
  <mergeCells count="82">
    <mergeCell ref="BQ11:BR11"/>
    <mergeCell ref="O1:AI1"/>
    <mergeCell ref="BQ8:BR8"/>
    <mergeCell ref="BQ9:BR9"/>
    <mergeCell ref="BQ10:BR10"/>
    <mergeCell ref="X11:BN11"/>
    <mergeCell ref="BQ12:BR12"/>
    <mergeCell ref="BQ13:BR13"/>
    <mergeCell ref="BQ14:BR14"/>
    <mergeCell ref="X12:BN12"/>
    <mergeCell ref="Y13:BO13"/>
    <mergeCell ref="Y14:BO14"/>
    <mergeCell ref="O22:O24"/>
    <mergeCell ref="C21:BT21"/>
    <mergeCell ref="A22:A24"/>
    <mergeCell ref="B22:B24"/>
    <mergeCell ref="C22:C24"/>
    <mergeCell ref="D22:D24"/>
    <mergeCell ref="E22:E24"/>
    <mergeCell ref="F22:F24"/>
    <mergeCell ref="G22:G24"/>
    <mergeCell ref="H22:H24"/>
    <mergeCell ref="I22:I24"/>
    <mergeCell ref="J22:J24"/>
    <mergeCell ref="K22:K24"/>
    <mergeCell ref="L22:L24"/>
    <mergeCell ref="M22:M24"/>
    <mergeCell ref="N22:N24"/>
    <mergeCell ref="P22:P24"/>
    <mergeCell ref="Q22:Q24"/>
    <mergeCell ref="R22:R24"/>
    <mergeCell ref="AC22:AC24"/>
    <mergeCell ref="AD22:AD24"/>
    <mergeCell ref="U22:U24"/>
    <mergeCell ref="V22:V24"/>
    <mergeCell ref="W22:Z22"/>
    <mergeCell ref="W23:W24"/>
    <mergeCell ref="X23:X24"/>
    <mergeCell ref="Y23:Y24"/>
    <mergeCell ref="Z23:Z24"/>
    <mergeCell ref="AA22:AA24"/>
    <mergeCell ref="AB22:AB24"/>
    <mergeCell ref="AX22:AX24"/>
    <mergeCell ref="AY22:AY24"/>
    <mergeCell ref="AZ22:AZ24"/>
    <mergeCell ref="BA22:BA24"/>
    <mergeCell ref="AR22:AR24"/>
    <mergeCell ref="AW23:AW24"/>
    <mergeCell ref="AS22:AS24"/>
    <mergeCell ref="AT22:AW22"/>
    <mergeCell ref="AV23:AV24"/>
    <mergeCell ref="BL22:BL24"/>
    <mergeCell ref="BG23:BG24"/>
    <mergeCell ref="BH23:BH24"/>
    <mergeCell ref="BI23:BI24"/>
    <mergeCell ref="BJ23:BJ24"/>
    <mergeCell ref="BB22:BB24"/>
    <mergeCell ref="BE22:BE24"/>
    <mergeCell ref="BF22:BF24"/>
    <mergeCell ref="BG22:BJ22"/>
    <mergeCell ref="BK22:BK24"/>
    <mergeCell ref="AE22:AH22"/>
    <mergeCell ref="AI22:AI24"/>
    <mergeCell ref="AJ22:AJ24"/>
    <mergeCell ref="AK22:AK24"/>
    <mergeCell ref="AL22:AL24"/>
    <mergeCell ref="AM22:AM24"/>
    <mergeCell ref="BM22:BM24"/>
    <mergeCell ref="BN22:BT22"/>
    <mergeCell ref="AE23:AE24"/>
    <mergeCell ref="AF23:AF24"/>
    <mergeCell ref="AG23:AG24"/>
    <mergeCell ref="BT23:BT24"/>
    <mergeCell ref="BN23:BN24"/>
    <mergeCell ref="BO23:BO24"/>
    <mergeCell ref="BP23:BP24"/>
    <mergeCell ref="BQ23:BQ24"/>
    <mergeCell ref="BR23:BR24"/>
    <mergeCell ref="BS23:BS24"/>
    <mergeCell ref="AH23:AH24"/>
    <mergeCell ref="AT23:AT24"/>
    <mergeCell ref="AU23:AU24"/>
  </mergeCells>
  <pageMargins left="0.23622047244094491" right="0.23622047244094491" top="0.74803149606299213" bottom="0.74803149606299213" header="0.31496062992125984" footer="0.31496062992125984"/>
  <pageSetup paperSize="9" scale="71" orientation="landscape" r:id="rId1"/>
  <headerFooter differentFirst="1">
    <oddFooter>&amp;C&amp;"Arial,обычный"&amp;10&amp;P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BY334"/>
  <sheetViews>
    <sheetView view="pageBreakPreview" topLeftCell="B13" zoomScale="85" zoomScaleNormal="115" zoomScaleSheetLayoutView="85" workbookViewId="0">
      <selection activeCell="C246" sqref="C246"/>
    </sheetView>
  </sheetViews>
  <sheetFormatPr defaultRowHeight="61.5" customHeight="1" outlineLevelRow="1" outlineLevelCol="1" x14ac:dyDescent="0.25"/>
  <cols>
    <col min="1" max="1" width="3.7109375" style="1" hidden="1" customWidth="1"/>
    <col min="2" max="2" width="3.7109375" style="1" customWidth="1"/>
    <col min="3" max="3" width="28.42578125" style="1" customWidth="1"/>
    <col min="4" max="4" width="17.7109375" style="1" hidden="1" customWidth="1"/>
    <col min="5" max="5" width="7" style="1" customWidth="1" outlineLevel="1"/>
    <col min="6" max="6" width="9.5703125" style="3" customWidth="1" outlineLevel="1"/>
    <col min="7" max="7" width="9.42578125" style="3" hidden="1" customWidth="1"/>
    <col min="8" max="8" width="11.85546875" style="3" hidden="1" customWidth="1"/>
    <col min="9" max="9" width="10.42578125" style="3" hidden="1" customWidth="1"/>
    <col min="10" max="12" width="3.5703125" style="3" hidden="1" customWidth="1"/>
    <col min="13" max="14" width="9.28515625" style="3" hidden="1" customWidth="1"/>
    <col min="15" max="15" width="9.42578125" style="3" hidden="1" customWidth="1"/>
    <col min="16" max="16" width="4.7109375" style="3" hidden="1" customWidth="1"/>
    <col min="17" max="17" width="8.7109375" style="25" hidden="1" customWidth="1"/>
    <col min="18" max="18" width="4.28515625" style="3" hidden="1" customWidth="1"/>
    <col min="19" max="20" width="10.140625" style="3" hidden="1" customWidth="1"/>
    <col min="21" max="21" width="9.42578125" style="3" customWidth="1"/>
    <col min="22" max="22" width="4.42578125" style="3" customWidth="1"/>
    <col min="23" max="23" width="8.85546875" style="3" customWidth="1"/>
    <col min="24" max="24" width="4.42578125" style="3" customWidth="1"/>
    <col min="25" max="25" width="9.28515625" style="3" customWidth="1"/>
    <col min="26" max="26" width="4.42578125" style="3" customWidth="1"/>
    <col min="27" max="27" width="9.140625" style="3" customWidth="1"/>
    <col min="28" max="28" width="7.85546875" style="3" customWidth="1"/>
    <col min="29" max="29" width="8.7109375" style="25" customWidth="1"/>
    <col min="30" max="30" width="4.28515625" style="3" customWidth="1"/>
    <col min="31" max="31" width="8.5703125" style="3" customWidth="1"/>
    <col min="32" max="32" width="3.28515625" style="3" customWidth="1"/>
    <col min="33" max="33" width="8.28515625" style="3" customWidth="1"/>
    <col min="34" max="34" width="4.5703125" style="3" customWidth="1"/>
    <col min="35" max="35" width="8.28515625" style="3" customWidth="1"/>
    <col min="36" max="39" width="8.5703125" style="3" hidden="1" customWidth="1"/>
    <col min="40" max="40" width="9.85546875" style="3" hidden="1" customWidth="1"/>
    <col min="41" max="43" width="8.5703125" style="3" hidden="1" customWidth="1"/>
    <col min="44" max="44" width="8.5703125" style="25" hidden="1" customWidth="1"/>
    <col min="45" max="45" width="4.42578125" style="3" hidden="1" customWidth="1"/>
    <col min="46" max="46" width="9.7109375" style="3" hidden="1" customWidth="1"/>
    <col min="47" max="47" width="8.28515625" style="3" hidden="1" customWidth="1"/>
    <col min="48" max="48" width="8.85546875" style="3" hidden="1" customWidth="1"/>
    <col min="49" max="52" width="8.28515625" style="3" hidden="1" customWidth="1"/>
    <col min="53" max="53" width="9.28515625" style="3" hidden="1" customWidth="1"/>
    <col min="54" max="54" width="8.28515625" style="3" hidden="1" customWidth="1"/>
    <col min="55" max="55" width="10" style="3" hidden="1" customWidth="1"/>
    <col min="56" max="56" width="8.28515625" style="3" hidden="1" customWidth="1"/>
    <col min="57" max="57" width="10" style="25" hidden="1" customWidth="1"/>
    <col min="58" max="58" width="4.140625" style="3" hidden="1" customWidth="1"/>
    <col min="59" max="59" width="10.85546875" style="3" hidden="1" customWidth="1"/>
    <col min="60" max="60" width="5.7109375" style="3" hidden="1" customWidth="1"/>
    <col min="61" max="61" width="10.5703125" style="3" hidden="1" customWidth="1"/>
    <col min="62" max="62" width="6.42578125" style="3" hidden="1" customWidth="1"/>
    <col min="63" max="65" width="9.7109375" style="3" hidden="1" customWidth="1"/>
    <col min="66" max="66" width="9.5703125" style="3" customWidth="1"/>
    <col min="67" max="67" width="10.7109375" style="3" customWidth="1"/>
    <col min="68" max="68" width="7" style="3" customWidth="1"/>
    <col min="69" max="69" width="7.42578125" style="3" customWidth="1"/>
    <col min="70" max="70" width="6.85546875" style="3" customWidth="1"/>
    <col min="71" max="71" width="5.7109375" style="3" customWidth="1"/>
    <col min="72" max="72" width="8.85546875" style="3" customWidth="1"/>
    <col min="73" max="73" width="24.5703125" style="3" customWidth="1"/>
    <col min="74" max="77" width="9.140625" style="3"/>
    <col min="78" max="16384" width="9.140625" style="1"/>
  </cols>
  <sheetData>
    <row r="1" spans="1:72" ht="14.25" customHeight="1" x14ac:dyDescent="0.25">
      <c r="C1" s="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23"/>
      <c r="AK1" s="123"/>
      <c r="AL1" s="123"/>
      <c r="AM1" s="123"/>
      <c r="AN1" s="123"/>
      <c r="AO1" s="123"/>
      <c r="AP1" s="123"/>
      <c r="AQ1" s="123"/>
      <c r="AR1" s="65"/>
      <c r="AS1" s="66"/>
      <c r="AT1" s="123"/>
      <c r="AU1" s="123"/>
      <c r="AV1" s="123"/>
      <c r="AW1" s="123"/>
      <c r="AX1" s="65"/>
      <c r="AY1" s="65"/>
      <c r="AZ1" s="65"/>
      <c r="BA1" s="65"/>
      <c r="BB1" s="65"/>
      <c r="BC1" s="65"/>
      <c r="BD1" s="65"/>
      <c r="BE1" s="123"/>
      <c r="BN1" s="42"/>
      <c r="BO1" s="42"/>
      <c r="BP1" s="42"/>
      <c r="BQ1" s="42"/>
      <c r="BR1" s="42"/>
      <c r="BS1" s="42"/>
      <c r="BT1" s="42"/>
    </row>
    <row r="2" spans="1:72" ht="14.25" customHeight="1" x14ac:dyDescent="0.25">
      <c r="C2" s="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65"/>
      <c r="AS2" s="66"/>
      <c r="AT2" s="123"/>
      <c r="AU2" s="123"/>
      <c r="AV2" s="123"/>
      <c r="AW2" s="123"/>
      <c r="AX2" s="65"/>
      <c r="AY2" s="65"/>
      <c r="AZ2" s="65"/>
      <c r="BA2" s="65"/>
      <c r="BB2" s="65"/>
      <c r="BC2" s="65"/>
      <c r="BD2" s="65"/>
      <c r="BE2" s="123"/>
      <c r="BN2" s="42"/>
      <c r="BO2" s="42"/>
      <c r="BP2" s="42"/>
      <c r="BQ2" s="42"/>
      <c r="BR2" s="42"/>
      <c r="BS2" s="42"/>
      <c r="BT2" s="42"/>
    </row>
    <row r="3" spans="1:72" ht="48.75" customHeight="1" x14ac:dyDescent="0.25">
      <c r="C3" s="178" t="s">
        <v>2085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178"/>
      <c r="AX3" s="178"/>
      <c r="AY3" s="178"/>
      <c r="AZ3" s="178"/>
      <c r="BA3" s="178"/>
      <c r="BB3" s="178"/>
      <c r="BC3" s="178"/>
      <c r="BD3" s="178"/>
      <c r="BE3" s="178"/>
      <c r="BF3" s="178"/>
      <c r="BG3" s="178"/>
      <c r="BH3" s="178"/>
      <c r="BI3" s="178"/>
      <c r="BJ3" s="178"/>
      <c r="BK3" s="178"/>
      <c r="BL3" s="178"/>
      <c r="BM3" s="178"/>
      <c r="BN3" s="178"/>
      <c r="BO3" s="178"/>
      <c r="BP3" s="178"/>
      <c r="BQ3" s="178"/>
      <c r="BR3" s="178"/>
      <c r="BS3" s="80"/>
      <c r="BT3" s="80"/>
    </row>
    <row r="4" spans="1:72" ht="14.25" customHeight="1" x14ac:dyDescent="0.25">
      <c r="C4" s="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65"/>
      <c r="AS4" s="66"/>
      <c r="AT4" s="123"/>
      <c r="AU4" s="123"/>
      <c r="AV4" s="123"/>
      <c r="AW4" s="123"/>
      <c r="AX4" s="65"/>
      <c r="AY4" s="65"/>
      <c r="AZ4" s="65"/>
      <c r="BA4" s="65"/>
      <c r="BB4" s="65"/>
      <c r="BC4" s="65"/>
      <c r="BD4" s="65"/>
      <c r="BE4" s="123"/>
      <c r="BN4" s="42"/>
      <c r="BO4" s="42"/>
      <c r="BP4" s="42"/>
      <c r="BQ4" s="42"/>
      <c r="BR4" s="42"/>
      <c r="BS4" s="42"/>
      <c r="BT4" s="42"/>
    </row>
    <row r="5" spans="1:72" ht="14.25" customHeight="1" x14ac:dyDescent="0.25">
      <c r="C5" s="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N5" s="42"/>
      <c r="BO5" s="42"/>
      <c r="BP5" s="42"/>
      <c r="BQ5" s="42"/>
      <c r="BR5" s="42"/>
      <c r="BS5" s="42"/>
      <c r="BT5" s="42"/>
    </row>
    <row r="6" spans="1:72" ht="14.25" customHeight="1" x14ac:dyDescent="0.25"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N6" s="42"/>
      <c r="BO6" s="42"/>
      <c r="BP6" s="42"/>
      <c r="BQ6" s="42"/>
      <c r="BR6" s="42"/>
      <c r="BS6" s="42"/>
      <c r="BT6" s="42"/>
    </row>
    <row r="7" spans="1:72" ht="14.25" customHeight="1" x14ac:dyDescent="0.25">
      <c r="A7" s="1">
        <v>6</v>
      </c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1"/>
      <c r="BT7" s="71"/>
    </row>
    <row r="8" spans="1:72" ht="14.25" customHeight="1" x14ac:dyDescent="0.3">
      <c r="B8" s="43"/>
      <c r="C8" s="73" t="s">
        <v>1755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5"/>
      <c r="AS8" s="75"/>
      <c r="AT8" s="75"/>
      <c r="AU8" s="76"/>
      <c r="AV8" s="76"/>
      <c r="AW8" s="76"/>
      <c r="AX8" s="77"/>
      <c r="AY8" s="77"/>
      <c r="AZ8" s="77"/>
      <c r="BA8" s="77"/>
      <c r="BB8" s="77"/>
      <c r="BC8" s="77"/>
      <c r="BD8" s="77"/>
      <c r="BE8" s="76"/>
      <c r="BF8" s="78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177" t="s">
        <v>1735</v>
      </c>
      <c r="BR8" s="177"/>
      <c r="BS8" s="43"/>
      <c r="BT8" s="43"/>
    </row>
    <row r="9" spans="1:72" ht="14.25" customHeight="1" x14ac:dyDescent="0.3">
      <c r="B9" s="43"/>
      <c r="C9" s="73" t="s">
        <v>1756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5"/>
      <c r="AS9" s="75"/>
      <c r="AT9" s="75"/>
      <c r="AU9" s="76"/>
      <c r="AV9" s="76"/>
      <c r="AW9" s="76"/>
      <c r="AX9" s="77"/>
      <c r="AY9" s="77"/>
      <c r="AZ9" s="77"/>
      <c r="BA9" s="77"/>
      <c r="BB9" s="77"/>
      <c r="BC9" s="77"/>
      <c r="BD9" s="77"/>
      <c r="BE9" s="76"/>
      <c r="BF9" s="78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177" t="s">
        <v>1762</v>
      </c>
      <c r="BR9" s="177"/>
      <c r="BS9" s="43"/>
      <c r="BT9" s="43"/>
    </row>
    <row r="10" spans="1:72" ht="14.25" customHeight="1" x14ac:dyDescent="0.3">
      <c r="B10" s="43"/>
      <c r="C10" s="73" t="s">
        <v>1757</v>
      </c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5"/>
      <c r="AS10" s="75"/>
      <c r="AT10" s="75"/>
      <c r="AU10" s="76"/>
      <c r="AV10" s="76"/>
      <c r="AW10" s="76"/>
      <c r="AX10" s="77"/>
      <c r="AY10" s="77"/>
      <c r="AZ10" s="77"/>
      <c r="BA10" s="77"/>
      <c r="BB10" s="77"/>
      <c r="BC10" s="77"/>
      <c r="BD10" s="77"/>
      <c r="BE10" s="76"/>
      <c r="BF10" s="78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175" t="s">
        <v>1766</v>
      </c>
      <c r="BR10" s="175"/>
      <c r="BS10" s="43"/>
      <c r="BT10" s="43"/>
    </row>
    <row r="11" spans="1:72" ht="24" customHeight="1" x14ac:dyDescent="0.3">
      <c r="B11" s="43"/>
      <c r="C11" s="73" t="s">
        <v>1758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172" t="s">
        <v>1765</v>
      </c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  <c r="BJ11" s="172"/>
      <c r="BK11" s="172"/>
      <c r="BL11" s="172"/>
      <c r="BM11" s="172"/>
      <c r="BN11" s="172"/>
      <c r="BQ11" s="175" t="s">
        <v>1767</v>
      </c>
      <c r="BR11" s="175"/>
      <c r="BS11" s="43"/>
      <c r="BT11" s="43"/>
    </row>
    <row r="12" spans="1:72" ht="23.25" customHeight="1" x14ac:dyDescent="0.3">
      <c r="B12" s="43"/>
      <c r="C12" s="79" t="s">
        <v>1759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172" t="s">
        <v>1765</v>
      </c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Q12" s="175" t="s">
        <v>1768</v>
      </c>
      <c r="BR12" s="175"/>
      <c r="BS12" s="43"/>
      <c r="BT12" s="43"/>
    </row>
    <row r="13" spans="1:72" ht="61.5" customHeight="1" x14ac:dyDescent="0.3">
      <c r="B13" s="43"/>
      <c r="C13" s="79" t="s">
        <v>1760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172" t="s">
        <v>1763</v>
      </c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Q13" s="176" t="s">
        <v>1769</v>
      </c>
      <c r="BR13" s="176"/>
      <c r="BS13" s="43"/>
      <c r="BT13" s="43"/>
    </row>
    <row r="14" spans="1:72" ht="14.25" customHeight="1" x14ac:dyDescent="0.3">
      <c r="B14" s="43"/>
      <c r="C14" s="73" t="s">
        <v>1761</v>
      </c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173" t="s">
        <v>1764</v>
      </c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3"/>
      <c r="AT14" s="173"/>
      <c r="AU14" s="173"/>
      <c r="AV14" s="173"/>
      <c r="AW14" s="173"/>
      <c r="AX14" s="173"/>
      <c r="AY14" s="173"/>
      <c r="AZ14" s="173"/>
      <c r="BA14" s="173"/>
      <c r="BB14" s="173"/>
      <c r="BC14" s="173"/>
      <c r="BD14" s="173"/>
      <c r="BE14" s="173"/>
      <c r="BF14" s="173"/>
      <c r="BG14" s="173"/>
      <c r="BH14" s="173"/>
      <c r="BI14" s="173"/>
      <c r="BJ14" s="173"/>
      <c r="BK14" s="173"/>
      <c r="BL14" s="173"/>
      <c r="BM14" s="173"/>
      <c r="BN14" s="173"/>
      <c r="BO14" s="173"/>
      <c r="BQ14" s="177">
        <v>441</v>
      </c>
      <c r="BR14" s="177"/>
      <c r="BS14" s="43"/>
      <c r="BT14" s="43"/>
    </row>
    <row r="15" spans="1:72" ht="14.25" customHeight="1" x14ac:dyDescent="0.25">
      <c r="B15" s="43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43"/>
      <c r="BT15" s="43"/>
    </row>
    <row r="16" spans="1:72" ht="14.25" customHeight="1" x14ac:dyDescent="0.25">
      <c r="B16" s="43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43"/>
      <c r="BT16" s="43"/>
    </row>
    <row r="17" spans="1:72" ht="14.25" customHeight="1" x14ac:dyDescent="0.25"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 t="s">
        <v>23</v>
      </c>
    </row>
    <row r="18" spans="1:72" ht="3" customHeight="1" thickBot="1" x14ac:dyDescent="0.3"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</row>
    <row r="19" spans="1:72" ht="14.25" hidden="1" customHeight="1" thickBot="1" x14ac:dyDescent="0.3"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</row>
    <row r="20" spans="1:72" ht="14.25" hidden="1" customHeight="1" thickBot="1" x14ac:dyDescent="0.3"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</row>
    <row r="21" spans="1:72" ht="51.75" hidden="1" customHeight="1" thickBot="1" x14ac:dyDescent="0.3"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</row>
    <row r="22" spans="1:72" ht="33" customHeight="1" x14ac:dyDescent="0.25">
      <c r="A22" s="161" t="s">
        <v>21</v>
      </c>
      <c r="B22" s="162" t="s">
        <v>22</v>
      </c>
      <c r="C22" s="164" t="s">
        <v>12</v>
      </c>
      <c r="D22" s="164"/>
      <c r="E22" s="164" t="s">
        <v>0</v>
      </c>
      <c r="F22" s="164" t="s">
        <v>13</v>
      </c>
      <c r="G22" s="164" t="s">
        <v>323</v>
      </c>
      <c r="H22" s="164" t="s">
        <v>1732</v>
      </c>
      <c r="I22" s="164" t="s">
        <v>1731</v>
      </c>
      <c r="J22" s="164" t="s">
        <v>1739</v>
      </c>
      <c r="K22" s="164" t="s">
        <v>1740</v>
      </c>
      <c r="L22" s="164" t="s">
        <v>1741</v>
      </c>
      <c r="M22" s="164" t="s">
        <v>24</v>
      </c>
      <c r="N22" s="164" t="s">
        <v>25</v>
      </c>
      <c r="O22" s="159" t="s">
        <v>1736</v>
      </c>
      <c r="P22" s="157" t="s">
        <v>1119</v>
      </c>
      <c r="Q22" s="150" t="s">
        <v>1811</v>
      </c>
      <c r="R22" s="140" t="s">
        <v>5</v>
      </c>
      <c r="S22" s="126" t="s">
        <v>1810</v>
      </c>
      <c r="T22" s="126"/>
      <c r="U22" s="153" t="s">
        <v>2084</v>
      </c>
      <c r="V22" s="149" t="s">
        <v>5</v>
      </c>
      <c r="W22" s="149" t="s">
        <v>1441</v>
      </c>
      <c r="X22" s="149"/>
      <c r="Y22" s="149"/>
      <c r="Z22" s="149"/>
      <c r="AA22" s="140" t="s">
        <v>2059</v>
      </c>
      <c r="AB22" s="140" t="s">
        <v>2061</v>
      </c>
      <c r="AC22" s="153" t="s">
        <v>2060</v>
      </c>
      <c r="AD22" s="149" t="s">
        <v>5</v>
      </c>
      <c r="AE22" s="149" t="s">
        <v>1441</v>
      </c>
      <c r="AF22" s="149"/>
      <c r="AG22" s="149"/>
      <c r="AH22" s="149"/>
      <c r="AI22" s="149" t="s">
        <v>26</v>
      </c>
      <c r="AJ22" s="140" t="s">
        <v>1829</v>
      </c>
      <c r="AK22" s="140" t="s">
        <v>1830</v>
      </c>
      <c r="AL22" s="150" t="s">
        <v>1812</v>
      </c>
      <c r="AM22" s="140" t="s">
        <v>5</v>
      </c>
      <c r="AN22" s="126" t="s">
        <v>1815</v>
      </c>
      <c r="AO22" s="126"/>
      <c r="AP22" s="126" t="s">
        <v>2059</v>
      </c>
      <c r="AQ22" s="126"/>
      <c r="AR22" s="153" t="s">
        <v>1483</v>
      </c>
      <c r="AS22" s="149" t="s">
        <v>1119</v>
      </c>
      <c r="AT22" s="149" t="s">
        <v>19</v>
      </c>
      <c r="AU22" s="149"/>
      <c r="AV22" s="149"/>
      <c r="AW22" s="149"/>
      <c r="AX22" s="149" t="s">
        <v>20</v>
      </c>
      <c r="AY22" s="140" t="s">
        <v>1829</v>
      </c>
      <c r="AZ22" s="140" t="s">
        <v>1830</v>
      </c>
      <c r="BA22" s="150" t="s">
        <v>1813</v>
      </c>
      <c r="BB22" s="140" t="s">
        <v>5</v>
      </c>
      <c r="BC22" s="121" t="s">
        <v>1814</v>
      </c>
      <c r="BD22" s="121"/>
      <c r="BE22" s="153" t="s">
        <v>1484</v>
      </c>
      <c r="BF22" s="155" t="s">
        <v>1119</v>
      </c>
      <c r="BG22" s="155" t="s">
        <v>27</v>
      </c>
      <c r="BH22" s="155"/>
      <c r="BI22" s="155"/>
      <c r="BJ22" s="155"/>
      <c r="BK22" s="155" t="s">
        <v>28</v>
      </c>
      <c r="BL22" s="140" t="s">
        <v>1829</v>
      </c>
      <c r="BM22" s="140" t="s">
        <v>1830</v>
      </c>
      <c r="BN22" s="143" t="s">
        <v>16</v>
      </c>
      <c r="BO22" s="144"/>
      <c r="BP22" s="144"/>
      <c r="BQ22" s="144"/>
      <c r="BR22" s="144"/>
      <c r="BS22" s="144"/>
      <c r="BT22" s="145"/>
    </row>
    <row r="23" spans="1:72" ht="17.25" customHeight="1" x14ac:dyDescent="0.25">
      <c r="A23" s="161"/>
      <c r="B23" s="163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0"/>
      <c r="P23" s="158"/>
      <c r="Q23" s="151"/>
      <c r="R23" s="141"/>
      <c r="S23" s="127"/>
      <c r="T23" s="127"/>
      <c r="U23" s="154"/>
      <c r="V23" s="146"/>
      <c r="W23" s="146" t="s">
        <v>1432</v>
      </c>
      <c r="X23" s="146" t="s">
        <v>6</v>
      </c>
      <c r="Y23" s="146" t="s">
        <v>1433</v>
      </c>
      <c r="Z23" s="146" t="s">
        <v>5</v>
      </c>
      <c r="AA23" s="141"/>
      <c r="AB23" s="141"/>
      <c r="AC23" s="154"/>
      <c r="AD23" s="146"/>
      <c r="AE23" s="146" t="s">
        <v>1432</v>
      </c>
      <c r="AF23" s="146" t="s">
        <v>6</v>
      </c>
      <c r="AG23" s="146" t="s">
        <v>1433</v>
      </c>
      <c r="AH23" s="146" t="s">
        <v>5</v>
      </c>
      <c r="AI23" s="146"/>
      <c r="AJ23" s="141"/>
      <c r="AK23" s="141"/>
      <c r="AL23" s="151"/>
      <c r="AM23" s="141"/>
      <c r="AN23" s="127"/>
      <c r="AO23" s="127"/>
      <c r="AP23" s="127"/>
      <c r="AQ23" s="127"/>
      <c r="AR23" s="154"/>
      <c r="AS23" s="146"/>
      <c r="AT23" s="146" t="s">
        <v>14</v>
      </c>
      <c r="AU23" s="146" t="s">
        <v>6</v>
      </c>
      <c r="AV23" s="146" t="s">
        <v>15</v>
      </c>
      <c r="AW23" s="146" t="s">
        <v>6</v>
      </c>
      <c r="AX23" s="146"/>
      <c r="AY23" s="141"/>
      <c r="AZ23" s="141"/>
      <c r="BA23" s="151"/>
      <c r="BB23" s="141"/>
      <c r="BC23" s="120"/>
      <c r="BD23" s="120"/>
      <c r="BE23" s="154"/>
      <c r="BF23" s="148"/>
      <c r="BG23" s="148" t="s">
        <v>14</v>
      </c>
      <c r="BH23" s="148" t="s">
        <v>6</v>
      </c>
      <c r="BI23" s="148" t="s">
        <v>15</v>
      </c>
      <c r="BJ23" s="148" t="s">
        <v>6</v>
      </c>
      <c r="BK23" s="156"/>
      <c r="BL23" s="141"/>
      <c r="BM23" s="141"/>
      <c r="BN23" s="148" t="s">
        <v>17</v>
      </c>
      <c r="BO23" s="148" t="s">
        <v>18</v>
      </c>
      <c r="BP23" s="148" t="s">
        <v>1</v>
      </c>
      <c r="BQ23" s="148" t="s">
        <v>2</v>
      </c>
      <c r="BR23" s="148" t="s">
        <v>3</v>
      </c>
      <c r="BS23" s="148" t="s">
        <v>4</v>
      </c>
      <c r="BT23" s="147" t="s">
        <v>130</v>
      </c>
    </row>
    <row r="24" spans="1:72" ht="13.5" customHeight="1" x14ac:dyDescent="0.25">
      <c r="A24" s="161"/>
      <c r="B24" s="163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0"/>
      <c r="P24" s="158"/>
      <c r="Q24" s="152"/>
      <c r="R24" s="142"/>
      <c r="S24" s="128"/>
      <c r="T24" s="128"/>
      <c r="U24" s="154"/>
      <c r="V24" s="146"/>
      <c r="W24" s="146"/>
      <c r="X24" s="146"/>
      <c r="Y24" s="146"/>
      <c r="Z24" s="146"/>
      <c r="AA24" s="142"/>
      <c r="AB24" s="142"/>
      <c r="AC24" s="154"/>
      <c r="AD24" s="146"/>
      <c r="AE24" s="146"/>
      <c r="AF24" s="146"/>
      <c r="AG24" s="146"/>
      <c r="AH24" s="146"/>
      <c r="AI24" s="146"/>
      <c r="AJ24" s="142"/>
      <c r="AK24" s="142"/>
      <c r="AL24" s="152"/>
      <c r="AM24" s="142"/>
      <c r="AN24" s="128"/>
      <c r="AO24" s="128"/>
      <c r="AP24" s="128"/>
      <c r="AQ24" s="128"/>
      <c r="AR24" s="154"/>
      <c r="AS24" s="146"/>
      <c r="AT24" s="146"/>
      <c r="AU24" s="146"/>
      <c r="AV24" s="146"/>
      <c r="AW24" s="146"/>
      <c r="AX24" s="146"/>
      <c r="AY24" s="142"/>
      <c r="AZ24" s="142"/>
      <c r="BA24" s="152"/>
      <c r="BB24" s="142"/>
      <c r="BC24" s="120"/>
      <c r="BD24" s="120"/>
      <c r="BE24" s="154"/>
      <c r="BF24" s="148"/>
      <c r="BG24" s="148"/>
      <c r="BH24" s="148"/>
      <c r="BI24" s="148"/>
      <c r="BJ24" s="148"/>
      <c r="BK24" s="156"/>
      <c r="BL24" s="142"/>
      <c r="BM24" s="142"/>
      <c r="BN24" s="148"/>
      <c r="BO24" s="148"/>
      <c r="BP24" s="148"/>
      <c r="BQ24" s="148"/>
      <c r="BR24" s="148"/>
      <c r="BS24" s="148"/>
      <c r="BT24" s="147"/>
    </row>
    <row r="25" spans="1:72" ht="12" customHeight="1" x14ac:dyDescent="0.25">
      <c r="A25" s="46">
        <v>1</v>
      </c>
      <c r="B25" s="52">
        <v>1</v>
      </c>
      <c r="C25" s="4">
        <v>2</v>
      </c>
      <c r="D25" s="4"/>
      <c r="E25" s="4">
        <v>3</v>
      </c>
      <c r="F25" s="5">
        <v>4</v>
      </c>
      <c r="G25" s="5"/>
      <c r="H25" s="5"/>
      <c r="I25" s="5"/>
      <c r="J25" s="5"/>
      <c r="K25" s="5"/>
      <c r="L25" s="5"/>
      <c r="M25" s="5">
        <v>5</v>
      </c>
      <c r="N25" s="5">
        <v>6</v>
      </c>
      <c r="O25" s="5">
        <v>7</v>
      </c>
      <c r="P25" s="5">
        <v>8</v>
      </c>
      <c r="Q25" s="6">
        <v>9</v>
      </c>
      <c r="R25" s="5">
        <v>10</v>
      </c>
      <c r="S25" s="5"/>
      <c r="T25" s="5"/>
      <c r="U25" s="6"/>
      <c r="V25" s="5"/>
      <c r="W25" s="5"/>
      <c r="X25" s="5"/>
      <c r="Y25" s="5"/>
      <c r="Z25" s="5"/>
      <c r="AA25" s="5"/>
      <c r="AB25" s="5"/>
      <c r="AC25" s="6">
        <v>7</v>
      </c>
      <c r="AD25" s="5">
        <v>8</v>
      </c>
      <c r="AE25" s="5">
        <v>9</v>
      </c>
      <c r="AF25" s="5">
        <v>10</v>
      </c>
      <c r="AG25" s="5">
        <v>11</v>
      </c>
      <c r="AH25" s="5">
        <v>12</v>
      </c>
      <c r="AI25" s="5">
        <v>13</v>
      </c>
      <c r="AJ25" s="5"/>
      <c r="AK25" s="5"/>
      <c r="AL25" s="5"/>
      <c r="AM25" s="5"/>
      <c r="AN25" s="5"/>
      <c r="AO25" s="5"/>
      <c r="AP25" s="5"/>
      <c r="AQ25" s="5"/>
      <c r="AR25" s="33">
        <v>14</v>
      </c>
      <c r="AS25" s="7">
        <v>15</v>
      </c>
      <c r="AT25" s="7"/>
      <c r="AU25" s="7"/>
      <c r="AV25" s="7"/>
      <c r="AW25" s="7"/>
      <c r="AX25" s="7">
        <v>18</v>
      </c>
      <c r="AY25" s="7"/>
      <c r="AZ25" s="7"/>
      <c r="BA25" s="7"/>
      <c r="BB25" s="7"/>
      <c r="BC25" s="7"/>
      <c r="BD25" s="7"/>
      <c r="BE25" s="6">
        <v>16</v>
      </c>
      <c r="BF25" s="8">
        <v>17</v>
      </c>
      <c r="BG25" s="8"/>
      <c r="BH25" s="8"/>
      <c r="BI25" s="8"/>
      <c r="BJ25" s="8"/>
      <c r="BK25" s="8">
        <v>21</v>
      </c>
      <c r="BL25" s="8"/>
      <c r="BM25" s="8"/>
      <c r="BN25" s="8">
        <v>18</v>
      </c>
      <c r="BO25" s="8">
        <v>19</v>
      </c>
      <c r="BP25" s="8">
        <v>20</v>
      </c>
      <c r="BQ25" s="8">
        <v>21</v>
      </c>
      <c r="BR25" s="8">
        <v>22</v>
      </c>
      <c r="BS25" s="8">
        <v>23</v>
      </c>
      <c r="BT25" s="53">
        <v>28</v>
      </c>
    </row>
    <row r="26" spans="1:72" ht="17.25" customHeight="1" x14ac:dyDescent="0.25">
      <c r="A26" s="47"/>
      <c r="B26" s="54">
        <f>B29+B40+B60+B96+B111+B134+B148+B175+B185+B209+B232+B246+B271+B320</f>
        <v>235</v>
      </c>
      <c r="C26" s="9" t="s">
        <v>430</v>
      </c>
      <c r="D26" s="9"/>
      <c r="E26" s="9"/>
      <c r="F26" s="122">
        <f>F29+F40+F60+F96+F111+F134+F148+F175+F185+F209+F232+F246+F271+F320</f>
        <v>129663364.77200001</v>
      </c>
      <c r="G26" s="122">
        <f>G29+G40+G60+G96+G111+G134+G148+G175+G185+G209+G232+G246+G271+G320</f>
        <v>125928599.177</v>
      </c>
      <c r="H26" s="122"/>
      <c r="I26" s="122"/>
      <c r="J26" s="122"/>
      <c r="K26" s="122"/>
      <c r="L26" s="122"/>
      <c r="M26" s="122">
        <f>M29+M40+M60+M96+M111+M134+M148+M175+M185+M209+M232+M246+M271+M320</f>
        <v>29988839</v>
      </c>
      <c r="N26" s="122">
        <f>N29+N40+N60+N96+N111+N134+N148+N175+N185+N209+N232+N246+N271+N320</f>
        <v>24356291.686507937</v>
      </c>
      <c r="O26" s="122">
        <v>61500191.333333328</v>
      </c>
      <c r="P26" s="122">
        <v>252</v>
      </c>
      <c r="Q26" s="26">
        <v>37000000</v>
      </c>
      <c r="R26" s="122">
        <v>172</v>
      </c>
      <c r="S26" s="26">
        <f t="shared" ref="S26:AZ27" si="0">S29+S40+S60+S96+S111+S134+S148+S175+S185+S209+S232+S246+S271+S320</f>
        <v>17032647</v>
      </c>
      <c r="T26" s="26">
        <f t="shared" si="0"/>
        <v>0</v>
      </c>
      <c r="U26" s="26">
        <f t="shared" si="0"/>
        <v>37000000</v>
      </c>
      <c r="V26" s="67">
        <f t="shared" si="0"/>
        <v>185</v>
      </c>
      <c r="W26" s="67">
        <f t="shared" si="0"/>
        <v>19513735</v>
      </c>
      <c r="X26" s="67">
        <f t="shared" si="0"/>
        <v>87</v>
      </c>
      <c r="Y26" s="67">
        <f t="shared" si="0"/>
        <v>17486265</v>
      </c>
      <c r="Z26" s="67">
        <f t="shared" si="0"/>
        <v>98</v>
      </c>
      <c r="AA26" s="67">
        <f t="shared" si="0"/>
        <v>-17486265</v>
      </c>
      <c r="AB26" s="67">
        <f t="shared" si="0"/>
        <v>1040680</v>
      </c>
      <c r="AC26" s="26">
        <f t="shared" si="0"/>
        <v>20554415</v>
      </c>
      <c r="AD26" s="122">
        <f t="shared" si="0"/>
        <v>110</v>
      </c>
      <c r="AE26" s="122">
        <f t="shared" si="0"/>
        <v>20504415</v>
      </c>
      <c r="AF26" s="122">
        <f t="shared" si="0"/>
        <v>109</v>
      </c>
      <c r="AG26" s="122">
        <f t="shared" si="0"/>
        <v>50000</v>
      </c>
      <c r="AH26" s="122">
        <f t="shared" si="0"/>
        <v>1</v>
      </c>
      <c r="AI26" s="122">
        <f t="shared" si="0"/>
        <v>3801876.6865079375</v>
      </c>
      <c r="AJ26" s="122">
        <f t="shared" si="0"/>
        <v>130</v>
      </c>
      <c r="AK26" s="122">
        <f t="shared" si="0"/>
        <v>55</v>
      </c>
      <c r="AL26" s="122">
        <f t="shared" si="0"/>
        <v>33750729.5</v>
      </c>
      <c r="AM26" s="122">
        <f t="shared" si="0"/>
        <v>87</v>
      </c>
      <c r="AN26" s="122">
        <f t="shared" si="0"/>
        <v>-20671633</v>
      </c>
      <c r="AO26" s="122">
        <f t="shared" si="0"/>
        <v>0</v>
      </c>
      <c r="AP26" s="122">
        <f t="shared" si="0"/>
        <v>16445585</v>
      </c>
      <c r="AQ26" s="122">
        <f t="shared" si="0"/>
        <v>0</v>
      </c>
      <c r="AR26" s="26">
        <f t="shared" si="0"/>
        <v>54422362.5</v>
      </c>
      <c r="AS26" s="122">
        <f t="shared" si="0"/>
        <v>174</v>
      </c>
      <c r="AT26" s="122">
        <f t="shared" si="0"/>
        <v>15305640</v>
      </c>
      <c r="AU26" s="122">
        <f t="shared" si="0"/>
        <v>49</v>
      </c>
      <c r="AV26" s="122">
        <f t="shared" si="0"/>
        <v>39116722.5</v>
      </c>
      <c r="AW26" s="122">
        <f t="shared" si="0"/>
        <v>126</v>
      </c>
      <c r="AX26" s="122">
        <f t="shared" si="0"/>
        <v>9917518.2579365112</v>
      </c>
      <c r="AY26" s="122">
        <f t="shared" si="0"/>
        <v>100</v>
      </c>
      <c r="AZ26" s="122">
        <f t="shared" si="0"/>
        <v>60567</v>
      </c>
      <c r="BA26" s="122">
        <v>37931999.5</v>
      </c>
      <c r="BB26" s="122">
        <v>108</v>
      </c>
      <c r="BC26" s="26">
        <f t="shared" ref="BC26:BM27" si="1">BC29+BC40+BC60+BC96+BC111+BC134+BC148+BC175+BC185+BC209+BC232+BC246+BC271+BC320</f>
        <v>19866468</v>
      </c>
      <c r="BD26" s="26">
        <f t="shared" si="1"/>
        <v>0</v>
      </c>
      <c r="BE26" s="26">
        <f t="shared" si="1"/>
        <v>6082705.5</v>
      </c>
      <c r="BF26" s="122">
        <f t="shared" si="1"/>
        <v>9</v>
      </c>
      <c r="BG26" s="122">
        <f t="shared" si="1"/>
        <v>6082705.5</v>
      </c>
      <c r="BH26" s="122">
        <f t="shared" si="1"/>
        <v>9</v>
      </c>
      <c r="BI26" s="122">
        <f t="shared" si="1"/>
        <v>0</v>
      </c>
      <c r="BJ26" s="122">
        <f t="shared" si="1"/>
        <v>0</v>
      </c>
      <c r="BK26" s="122">
        <f t="shared" si="1"/>
        <v>1266549.7976190476</v>
      </c>
      <c r="BL26" s="122">
        <f t="shared" si="1"/>
        <v>8</v>
      </c>
      <c r="BM26" s="122">
        <f t="shared" si="1"/>
        <v>0</v>
      </c>
      <c r="BN26" s="122"/>
      <c r="BO26" s="122"/>
      <c r="BP26" s="122"/>
      <c r="BQ26" s="122"/>
      <c r="BR26" s="122"/>
      <c r="BS26" s="122"/>
      <c r="BT26" s="55"/>
    </row>
    <row r="27" spans="1:72" ht="20.25" customHeight="1" x14ac:dyDescent="0.25">
      <c r="A27" s="124"/>
      <c r="B27" s="125"/>
      <c r="C27" s="122" t="s">
        <v>7</v>
      </c>
      <c r="D27" s="122"/>
      <c r="E27" s="122"/>
      <c r="F27" s="41">
        <f>F30+F41+F61+F97+F112+F135+F149+F176+F186+F210+F233+F247+F272+F321</f>
        <v>120111091.37199999</v>
      </c>
      <c r="G27" s="41">
        <f>G30+G41+G61+G97+G112+G135+G149+G176+G186+G210+G233+G247+G272+G321</f>
        <v>116613444.177</v>
      </c>
      <c r="H27" s="41" t="e">
        <f>H30+H41+H61+H97+H112+H135+H149+H176+H186+H210+H233+H247+H272+H321</f>
        <v>#REF!</v>
      </c>
      <c r="I27" s="41" t="e">
        <f>I30+I41+I61+I97+I112+I135+I149+I176+I186+I210+I233+I247+I272+I321</f>
        <v>#REF!</v>
      </c>
      <c r="J27" s="41">
        <f>J30+J41+J61+J97+J112+J135+J149+J176+J186+J210+J233+J247+J272+J321</f>
        <v>2</v>
      </c>
      <c r="K27" s="41">
        <f>K30+K41+K61+K97+K112+K135+K149+K176+K186+K210+K233+K247+K272+K321</f>
        <v>0</v>
      </c>
      <c r="L27" s="41">
        <f>L30+L41+L61+L97+L112+L135+L149+L176+L186+L210+L233+L247+L272+L321</f>
        <v>0</v>
      </c>
      <c r="M27" s="41">
        <f>M30+M41+M61+M97+M112+M135+M149+M176+M186+M210+M233+M247+M272+M321</f>
        <v>29488839</v>
      </c>
      <c r="N27" s="41">
        <f>N30+N41+N61+N97+N112+N135+N149+N176+N186+N210+N233+N247+N272+N321</f>
        <v>23804958.353174604</v>
      </c>
      <c r="O27" s="41">
        <f>O30+O41+O61+O97+O112+O135+O149+O176+O186+O210+O233+O247+O272+O321</f>
        <v>55507282.333333328</v>
      </c>
      <c r="P27" s="41">
        <f>P30+P41+P61+P97+P112+P135+P149+P176+P186+P210+P233+P247+P272+P321</f>
        <v>241</v>
      </c>
      <c r="Q27" s="41">
        <f>Q30+Q41+Q61+Q97+Q112+Q135+Q149+Q176+Q186+Q210+Q233+Q247+Q272+Q321</f>
        <v>34152974</v>
      </c>
      <c r="R27" s="41">
        <f>R30+R41+R61+R97+R112+R135+R149+R176+R186+R210+R233+R247+R272+R321</f>
        <v>162</v>
      </c>
      <c r="S27" s="41">
        <f t="shared" si="0"/>
        <v>14584410</v>
      </c>
      <c r="T27" s="41">
        <f t="shared" si="0"/>
        <v>0</v>
      </c>
      <c r="U27" s="27">
        <f t="shared" si="0"/>
        <v>34561253</v>
      </c>
      <c r="V27" s="69">
        <f t="shared" si="0"/>
        <v>175</v>
      </c>
      <c r="W27" s="69">
        <f t="shared" si="0"/>
        <v>19067535</v>
      </c>
      <c r="X27" s="69">
        <f t="shared" si="0"/>
        <v>86</v>
      </c>
      <c r="Y27" s="69">
        <f t="shared" si="0"/>
        <v>15493718</v>
      </c>
      <c r="Z27" s="69">
        <f t="shared" si="0"/>
        <v>89</v>
      </c>
      <c r="AA27" s="69">
        <f t="shared" si="0"/>
        <v>-15493718</v>
      </c>
      <c r="AB27" s="69">
        <f t="shared" si="0"/>
        <v>990680</v>
      </c>
      <c r="AC27" s="27">
        <f t="shared" si="0"/>
        <v>20058215</v>
      </c>
      <c r="AD27" s="41">
        <f t="shared" si="0"/>
        <v>106</v>
      </c>
      <c r="AE27" s="41">
        <f t="shared" si="0"/>
        <v>20058215</v>
      </c>
      <c r="AF27" s="41">
        <f t="shared" si="0"/>
        <v>108</v>
      </c>
      <c r="AG27" s="41">
        <f t="shared" si="0"/>
        <v>0</v>
      </c>
      <c r="AH27" s="41">
        <f t="shared" si="0"/>
        <v>0</v>
      </c>
      <c r="AI27" s="41">
        <f t="shared" si="0"/>
        <v>3746743.3531746035</v>
      </c>
      <c r="AJ27" s="41">
        <f t="shared" si="0"/>
        <v>127</v>
      </c>
      <c r="AK27" s="41">
        <f t="shared" si="0"/>
        <v>48</v>
      </c>
      <c r="AL27" s="41">
        <f t="shared" si="0"/>
        <v>29555202.5</v>
      </c>
      <c r="AM27" s="41">
        <f t="shared" si="0"/>
        <v>79</v>
      </c>
      <c r="AN27" s="41">
        <f t="shared" si="0"/>
        <v>-17989086</v>
      </c>
      <c r="AO27" s="41">
        <f t="shared" si="0"/>
        <v>0</v>
      </c>
      <c r="AP27" s="41">
        <f t="shared" si="0"/>
        <v>14503038</v>
      </c>
      <c r="AQ27" s="41">
        <f t="shared" si="0"/>
        <v>0</v>
      </c>
      <c r="AR27" s="27">
        <f t="shared" si="0"/>
        <v>47544288.5</v>
      </c>
      <c r="AS27" s="41">
        <f t="shared" si="0"/>
        <v>163</v>
      </c>
      <c r="AT27" s="41">
        <f t="shared" si="0"/>
        <v>13906601</v>
      </c>
      <c r="AU27" s="41">
        <f t="shared" si="0"/>
        <v>44</v>
      </c>
      <c r="AV27" s="41">
        <f t="shared" si="0"/>
        <v>33637687.5</v>
      </c>
      <c r="AW27" s="41">
        <f t="shared" si="0"/>
        <v>119</v>
      </c>
      <c r="AX27" s="41">
        <f t="shared" si="0"/>
        <v>8834844.3968253992</v>
      </c>
      <c r="AY27" s="41">
        <f t="shared" si="0"/>
        <v>91</v>
      </c>
      <c r="AZ27" s="41">
        <f t="shared" si="0"/>
        <v>10</v>
      </c>
      <c r="BA27" s="41">
        <f>BA30+BA41+BA61+BA97+BA112+BA135+BA149+BA176+BA186+BA210+BA233+BA247+BA272+BA321</f>
        <v>23078448.5</v>
      </c>
      <c r="BB27" s="41">
        <f>BB30+BB41+BB61+BB97+BB112+BB135+BB149+BB176+BB186+BB210+BB233+BB247+BB272+BB321</f>
        <v>90</v>
      </c>
      <c r="BC27" s="41">
        <f t="shared" si="1"/>
        <v>16995743</v>
      </c>
      <c r="BD27" s="41">
        <f t="shared" si="1"/>
        <v>0</v>
      </c>
      <c r="BE27" s="27">
        <f t="shared" si="1"/>
        <v>6082705.5</v>
      </c>
      <c r="BF27" s="41">
        <f t="shared" si="1"/>
        <v>9</v>
      </c>
      <c r="BG27" s="41">
        <f t="shared" si="1"/>
        <v>6082705.5</v>
      </c>
      <c r="BH27" s="41">
        <f t="shared" si="1"/>
        <v>9</v>
      </c>
      <c r="BI27" s="41">
        <f t="shared" si="1"/>
        <v>0</v>
      </c>
      <c r="BJ27" s="41">
        <f t="shared" si="1"/>
        <v>0</v>
      </c>
      <c r="BK27" s="41">
        <f t="shared" si="1"/>
        <v>1266549.7976190476</v>
      </c>
      <c r="BL27" s="41">
        <f t="shared" si="1"/>
        <v>8</v>
      </c>
      <c r="BM27" s="41">
        <f t="shared" si="1"/>
        <v>0</v>
      </c>
      <c r="BN27" s="41"/>
      <c r="BO27" s="41"/>
      <c r="BP27" s="41"/>
      <c r="BQ27" s="41"/>
      <c r="BR27" s="41"/>
      <c r="BS27" s="41"/>
      <c r="BT27" s="56"/>
    </row>
    <row r="28" spans="1:72" ht="18.75" customHeight="1" x14ac:dyDescent="0.25">
      <c r="A28" s="124"/>
      <c r="B28" s="125"/>
      <c r="C28" s="122" t="s">
        <v>8</v>
      </c>
      <c r="D28" s="122"/>
      <c r="E28" s="122"/>
      <c r="F28" s="122">
        <f t="shared" ref="F28:BM28" si="2">F58+F91+F132+F183+F207+F266</f>
        <v>9552273.4000000004</v>
      </c>
      <c r="G28" s="122">
        <f t="shared" si="2"/>
        <v>9315155</v>
      </c>
      <c r="H28" s="122">
        <f t="shared" si="2"/>
        <v>1551334</v>
      </c>
      <c r="I28" s="122">
        <f t="shared" si="2"/>
        <v>9198</v>
      </c>
      <c r="J28" s="122">
        <f t="shared" si="2"/>
        <v>1</v>
      </c>
      <c r="K28" s="122">
        <f t="shared" si="2"/>
        <v>0</v>
      </c>
      <c r="L28" s="122">
        <f t="shared" si="2"/>
        <v>0</v>
      </c>
      <c r="M28" s="122">
        <f t="shared" si="2"/>
        <v>500000</v>
      </c>
      <c r="N28" s="122">
        <f t="shared" si="2"/>
        <v>551333.33333333326</v>
      </c>
      <c r="O28" s="122">
        <f t="shared" si="2"/>
        <v>5511278</v>
      </c>
      <c r="P28" s="122">
        <f t="shared" si="2"/>
        <v>12</v>
      </c>
      <c r="Q28" s="122">
        <f t="shared" si="2"/>
        <v>2847026</v>
      </c>
      <c r="R28" s="122">
        <f t="shared" si="2"/>
        <v>10</v>
      </c>
      <c r="S28" s="122">
        <f t="shared" si="2"/>
        <v>2350826</v>
      </c>
      <c r="T28" s="122">
        <f t="shared" si="2"/>
        <v>0</v>
      </c>
      <c r="U28" s="26">
        <f t="shared" si="2"/>
        <v>2438747</v>
      </c>
      <c r="V28" s="67">
        <f t="shared" si="2"/>
        <v>10</v>
      </c>
      <c r="W28" s="67">
        <f t="shared" si="2"/>
        <v>446200</v>
      </c>
      <c r="X28" s="67">
        <f t="shared" si="2"/>
        <v>1</v>
      </c>
      <c r="Y28" s="67">
        <f t="shared" si="2"/>
        <v>1992547</v>
      </c>
      <c r="Z28" s="67">
        <f t="shared" si="2"/>
        <v>9</v>
      </c>
      <c r="AA28" s="67">
        <f t="shared" si="2"/>
        <v>-1992547</v>
      </c>
      <c r="AB28" s="67">
        <f t="shared" si="2"/>
        <v>50000</v>
      </c>
      <c r="AC28" s="26">
        <f t="shared" si="2"/>
        <v>496200</v>
      </c>
      <c r="AD28" s="122">
        <f t="shared" si="2"/>
        <v>2</v>
      </c>
      <c r="AE28" s="122">
        <f t="shared" si="2"/>
        <v>446200</v>
      </c>
      <c r="AF28" s="122">
        <f t="shared" si="2"/>
        <v>1</v>
      </c>
      <c r="AG28" s="122">
        <f t="shared" si="2"/>
        <v>50000</v>
      </c>
      <c r="AH28" s="122">
        <f t="shared" si="2"/>
        <v>1</v>
      </c>
      <c r="AI28" s="122">
        <f t="shared" si="2"/>
        <v>55133.333333333336</v>
      </c>
      <c r="AJ28" s="122">
        <f t="shared" si="2"/>
        <v>3</v>
      </c>
      <c r="AK28" s="122">
        <f t="shared" si="2"/>
        <v>7</v>
      </c>
      <c r="AL28" s="122">
        <f t="shared" si="2"/>
        <v>4195527</v>
      </c>
      <c r="AM28" s="122">
        <f t="shared" si="2"/>
        <v>8</v>
      </c>
      <c r="AN28" s="122">
        <f t="shared" si="2"/>
        <v>-2682547</v>
      </c>
      <c r="AO28" s="122">
        <f t="shared" si="2"/>
        <v>0</v>
      </c>
      <c r="AP28" s="122">
        <f t="shared" si="2"/>
        <v>1942547</v>
      </c>
      <c r="AQ28" s="122">
        <f t="shared" si="2"/>
        <v>0</v>
      </c>
      <c r="AR28" s="26">
        <f t="shared" si="2"/>
        <v>6878074</v>
      </c>
      <c r="AS28" s="122">
        <f t="shared" si="2"/>
        <v>11</v>
      </c>
      <c r="AT28" s="122">
        <f t="shared" si="2"/>
        <v>1399039</v>
      </c>
      <c r="AU28" s="122">
        <f t="shared" si="2"/>
        <v>5</v>
      </c>
      <c r="AV28" s="122">
        <f t="shared" si="2"/>
        <v>5479035</v>
      </c>
      <c r="AW28" s="122">
        <f t="shared" si="2"/>
        <v>7</v>
      </c>
      <c r="AX28" s="122">
        <f t="shared" si="2"/>
        <v>1082673.861111111</v>
      </c>
      <c r="AY28" s="122">
        <f t="shared" si="2"/>
        <v>9</v>
      </c>
      <c r="AZ28" s="122">
        <f t="shared" si="2"/>
        <v>60557</v>
      </c>
      <c r="BA28" s="122">
        <f t="shared" si="2"/>
        <v>1505605</v>
      </c>
      <c r="BB28" s="122">
        <f t="shared" si="2"/>
        <v>6</v>
      </c>
      <c r="BC28" s="122">
        <f t="shared" si="2"/>
        <v>1505605</v>
      </c>
      <c r="BD28" s="122">
        <f t="shared" si="2"/>
        <v>0</v>
      </c>
      <c r="BE28" s="26">
        <f t="shared" si="2"/>
        <v>0</v>
      </c>
      <c r="BF28" s="122">
        <f t="shared" si="2"/>
        <v>0</v>
      </c>
      <c r="BG28" s="122">
        <f t="shared" si="2"/>
        <v>0</v>
      </c>
      <c r="BH28" s="122">
        <f t="shared" si="2"/>
        <v>0</v>
      </c>
      <c r="BI28" s="122">
        <f t="shared" si="2"/>
        <v>0</v>
      </c>
      <c r="BJ28" s="122">
        <f t="shared" si="2"/>
        <v>0</v>
      </c>
      <c r="BK28" s="122">
        <f t="shared" si="2"/>
        <v>0</v>
      </c>
      <c r="BL28" s="122">
        <f t="shared" si="2"/>
        <v>0</v>
      </c>
      <c r="BM28" s="122">
        <f t="shared" si="2"/>
        <v>0</v>
      </c>
      <c r="BN28" s="122"/>
      <c r="BO28" s="122"/>
      <c r="BP28" s="122"/>
      <c r="BQ28" s="122"/>
      <c r="BR28" s="122"/>
      <c r="BS28" s="122"/>
      <c r="BT28" s="55"/>
    </row>
    <row r="29" spans="1:72" ht="21" customHeight="1" x14ac:dyDescent="0.25">
      <c r="A29" s="124"/>
      <c r="B29" s="57">
        <v>11</v>
      </c>
      <c r="C29" s="26" t="s">
        <v>532</v>
      </c>
      <c r="D29" s="26"/>
      <c r="E29" s="26"/>
      <c r="F29" s="26">
        <f>F30</f>
        <v>4873821</v>
      </c>
      <c r="G29" s="26">
        <f t="shared" ref="G29:BM29" si="3">G30</f>
        <v>4739948.0479999995</v>
      </c>
      <c r="H29" s="26">
        <f>H30</f>
        <v>3107254</v>
      </c>
      <c r="I29" s="26">
        <f>I30</f>
        <v>230799</v>
      </c>
      <c r="J29" s="26"/>
      <c r="K29" s="26"/>
      <c r="L29" s="26"/>
      <c r="M29" s="26">
        <f t="shared" si="3"/>
        <v>1519007</v>
      </c>
      <c r="N29" s="26">
        <f t="shared" si="3"/>
        <v>1618584.4444444445</v>
      </c>
      <c r="O29" s="26">
        <v>2972174</v>
      </c>
      <c r="P29" s="26">
        <v>11</v>
      </c>
      <c r="Q29" s="26">
        <v>2319349</v>
      </c>
      <c r="R29" s="26">
        <v>9</v>
      </c>
      <c r="S29" s="26">
        <f t="shared" si="3"/>
        <v>862623</v>
      </c>
      <c r="T29" s="26">
        <f t="shared" si="3"/>
        <v>0</v>
      </c>
      <c r="U29" s="26">
        <f t="shared" si="3"/>
        <v>2009349</v>
      </c>
      <c r="V29" s="26">
        <f t="shared" si="3"/>
        <v>9</v>
      </c>
      <c r="W29" s="26">
        <f t="shared" si="3"/>
        <v>1410154</v>
      </c>
      <c r="X29" s="26">
        <f t="shared" si="3"/>
        <v>6</v>
      </c>
      <c r="Y29" s="26">
        <f t="shared" si="3"/>
        <v>599195</v>
      </c>
      <c r="Z29" s="26">
        <f t="shared" si="3"/>
        <v>3</v>
      </c>
      <c r="AA29" s="26">
        <f t="shared" si="3"/>
        <v>-599195</v>
      </c>
      <c r="AB29" s="26">
        <f t="shared" si="3"/>
        <v>46572</v>
      </c>
      <c r="AC29" s="26">
        <f t="shared" si="3"/>
        <v>1456726</v>
      </c>
      <c r="AD29" s="26">
        <f t="shared" ref="AD29:AD85" si="4">AF29+AH29</f>
        <v>6</v>
      </c>
      <c r="AE29" s="26">
        <f t="shared" si="3"/>
        <v>1456726</v>
      </c>
      <c r="AF29" s="26">
        <f t="shared" si="3"/>
        <v>6</v>
      </c>
      <c r="AG29" s="26">
        <f t="shared" si="3"/>
        <v>0</v>
      </c>
      <c r="AH29" s="26">
        <f t="shared" si="3"/>
        <v>0</v>
      </c>
      <c r="AI29" s="26">
        <f t="shared" si="3"/>
        <v>161858.44444444447</v>
      </c>
      <c r="AJ29" s="26">
        <f t="shared" si="3"/>
        <v>7</v>
      </c>
      <c r="AK29" s="26">
        <f t="shared" si="3"/>
        <v>2</v>
      </c>
      <c r="AL29" s="26">
        <f t="shared" si="3"/>
        <v>770643</v>
      </c>
      <c r="AM29" s="26">
        <f t="shared" si="3"/>
        <v>2</v>
      </c>
      <c r="AN29" s="26">
        <f t="shared" si="3"/>
        <v>-537635</v>
      </c>
      <c r="AO29" s="26">
        <f t="shared" si="3"/>
        <v>0</v>
      </c>
      <c r="AP29" s="26">
        <f t="shared" si="3"/>
        <v>552623</v>
      </c>
      <c r="AQ29" s="26">
        <f t="shared" si="3"/>
        <v>0</v>
      </c>
      <c r="AR29" s="26">
        <f t="shared" si="3"/>
        <v>1308278</v>
      </c>
      <c r="AS29" s="26">
        <f t="shared" si="3"/>
        <v>4</v>
      </c>
      <c r="AT29" s="26">
        <f t="shared" si="3"/>
        <v>1308278</v>
      </c>
      <c r="AU29" s="26">
        <f t="shared" si="3"/>
        <v>4</v>
      </c>
      <c r="AV29" s="26">
        <f t="shared" si="3"/>
        <v>0</v>
      </c>
      <c r="AW29" s="26">
        <f t="shared" si="3"/>
        <v>0</v>
      </c>
      <c r="AX29" s="26">
        <f t="shared" si="3"/>
        <v>145364.22222222222</v>
      </c>
      <c r="AY29" s="26">
        <f t="shared" si="3"/>
        <v>2</v>
      </c>
      <c r="AZ29" s="26">
        <f t="shared" si="3"/>
        <v>0</v>
      </c>
      <c r="BA29" s="26">
        <v>0</v>
      </c>
      <c r="BB29" s="26">
        <v>0</v>
      </c>
      <c r="BC29" s="26">
        <f t="shared" si="3"/>
        <v>0</v>
      </c>
      <c r="BD29" s="26">
        <f t="shared" si="3"/>
        <v>0</v>
      </c>
      <c r="BE29" s="26">
        <f t="shared" si="3"/>
        <v>0</v>
      </c>
      <c r="BF29" s="26">
        <f t="shared" si="3"/>
        <v>0</v>
      </c>
      <c r="BG29" s="26">
        <f t="shared" si="3"/>
        <v>0</v>
      </c>
      <c r="BH29" s="26">
        <f t="shared" si="3"/>
        <v>0</v>
      </c>
      <c r="BI29" s="26">
        <f t="shared" si="3"/>
        <v>0</v>
      </c>
      <c r="BJ29" s="26">
        <f t="shared" si="3"/>
        <v>0</v>
      </c>
      <c r="BK29" s="26">
        <f t="shared" si="3"/>
        <v>0</v>
      </c>
      <c r="BL29" s="26">
        <f t="shared" si="3"/>
        <v>0</v>
      </c>
      <c r="BM29" s="26">
        <f t="shared" si="3"/>
        <v>0</v>
      </c>
      <c r="BN29" s="26"/>
      <c r="BO29" s="26"/>
      <c r="BP29" s="26"/>
      <c r="BQ29" s="26"/>
      <c r="BR29" s="26"/>
      <c r="BS29" s="26"/>
      <c r="BT29" s="58"/>
    </row>
    <row r="30" spans="1:72" ht="17.25" hidden="1" customHeight="1" outlineLevel="1" x14ac:dyDescent="0.25">
      <c r="A30" s="124"/>
      <c r="B30" s="125"/>
      <c r="C30" s="11" t="s">
        <v>198</v>
      </c>
      <c r="D30" s="122"/>
      <c r="E30" s="122"/>
      <c r="F30" s="122">
        <f>SUM(F31:F39)</f>
        <v>4873821</v>
      </c>
      <c r="G30" s="122">
        <f>SUM(G31:G39)</f>
        <v>4739948.0479999995</v>
      </c>
      <c r="H30" s="122">
        <f>H31+H32+H33+H34+H35+H36</f>
        <v>3107254</v>
      </c>
      <c r="I30" s="122">
        <f>I31+I32+I33+I34+I35+I36</f>
        <v>230799</v>
      </c>
      <c r="J30" s="122"/>
      <c r="K30" s="122"/>
      <c r="L30" s="122"/>
      <c r="M30" s="122">
        <f>SUM(M31:M39)</f>
        <v>1519007</v>
      </c>
      <c r="N30" s="122">
        <f>SUM(N31:N39)</f>
        <v>1618584.4444444445</v>
      </c>
      <c r="O30" s="122">
        <v>2972174</v>
      </c>
      <c r="P30" s="122">
        <v>11</v>
      </c>
      <c r="Q30" s="26">
        <v>2319349</v>
      </c>
      <c r="R30" s="122">
        <v>9</v>
      </c>
      <c r="S30" s="26">
        <f t="shared" ref="S30:AZ30" si="5">SUM(S31:S39)</f>
        <v>862623</v>
      </c>
      <c r="T30" s="26">
        <f t="shared" si="5"/>
        <v>0</v>
      </c>
      <c r="U30" s="26">
        <f t="shared" si="5"/>
        <v>2009349</v>
      </c>
      <c r="V30" s="67">
        <f t="shared" si="5"/>
        <v>9</v>
      </c>
      <c r="W30" s="67">
        <f t="shared" si="5"/>
        <v>1410154</v>
      </c>
      <c r="X30" s="67">
        <f t="shared" si="5"/>
        <v>6</v>
      </c>
      <c r="Y30" s="67">
        <f t="shared" si="5"/>
        <v>599195</v>
      </c>
      <c r="Z30" s="67">
        <f t="shared" si="5"/>
        <v>3</v>
      </c>
      <c r="AA30" s="67">
        <f t="shared" si="5"/>
        <v>-599195</v>
      </c>
      <c r="AB30" s="67">
        <f t="shared" si="5"/>
        <v>46572</v>
      </c>
      <c r="AC30" s="26">
        <f t="shared" si="5"/>
        <v>1456726</v>
      </c>
      <c r="AD30" s="122">
        <f t="shared" si="5"/>
        <v>6</v>
      </c>
      <c r="AE30" s="122">
        <f t="shared" si="5"/>
        <v>1456726</v>
      </c>
      <c r="AF30" s="122">
        <f t="shared" si="5"/>
        <v>6</v>
      </c>
      <c r="AG30" s="122">
        <f t="shared" si="5"/>
        <v>0</v>
      </c>
      <c r="AH30" s="122">
        <f t="shared" si="5"/>
        <v>0</v>
      </c>
      <c r="AI30" s="122">
        <f t="shared" si="5"/>
        <v>161858.44444444447</v>
      </c>
      <c r="AJ30" s="122">
        <f t="shared" si="5"/>
        <v>7</v>
      </c>
      <c r="AK30" s="122">
        <f t="shared" si="5"/>
        <v>2</v>
      </c>
      <c r="AL30" s="122">
        <f t="shared" si="5"/>
        <v>770643</v>
      </c>
      <c r="AM30" s="122">
        <f t="shared" si="5"/>
        <v>2</v>
      </c>
      <c r="AN30" s="122">
        <f t="shared" si="5"/>
        <v>-537635</v>
      </c>
      <c r="AO30" s="122">
        <f t="shared" si="5"/>
        <v>0</v>
      </c>
      <c r="AP30" s="122">
        <f t="shared" si="5"/>
        <v>552623</v>
      </c>
      <c r="AQ30" s="122">
        <f t="shared" si="5"/>
        <v>0</v>
      </c>
      <c r="AR30" s="26">
        <f t="shared" si="5"/>
        <v>1308278</v>
      </c>
      <c r="AS30" s="122">
        <f t="shared" si="5"/>
        <v>4</v>
      </c>
      <c r="AT30" s="122">
        <f t="shared" si="5"/>
        <v>1308278</v>
      </c>
      <c r="AU30" s="122">
        <f t="shared" si="5"/>
        <v>4</v>
      </c>
      <c r="AV30" s="122">
        <f t="shared" si="5"/>
        <v>0</v>
      </c>
      <c r="AW30" s="122">
        <f t="shared" si="5"/>
        <v>0</v>
      </c>
      <c r="AX30" s="122">
        <f t="shared" si="5"/>
        <v>145364.22222222222</v>
      </c>
      <c r="AY30" s="122">
        <f t="shared" si="5"/>
        <v>2</v>
      </c>
      <c r="AZ30" s="122">
        <f t="shared" si="5"/>
        <v>0</v>
      </c>
      <c r="BA30" s="122">
        <v>0</v>
      </c>
      <c r="BB30" s="122">
        <v>0</v>
      </c>
      <c r="BC30" s="26">
        <f t="shared" ref="BC30:BM30" si="6">SUM(BC31:BC39)</f>
        <v>0</v>
      </c>
      <c r="BD30" s="26">
        <f t="shared" si="6"/>
        <v>0</v>
      </c>
      <c r="BE30" s="26">
        <f t="shared" si="6"/>
        <v>0</v>
      </c>
      <c r="BF30" s="122">
        <f t="shared" si="6"/>
        <v>0</v>
      </c>
      <c r="BG30" s="122">
        <f t="shared" si="6"/>
        <v>0</v>
      </c>
      <c r="BH30" s="122">
        <f t="shared" si="6"/>
        <v>0</v>
      </c>
      <c r="BI30" s="122">
        <f t="shared" si="6"/>
        <v>0</v>
      </c>
      <c r="BJ30" s="122">
        <f t="shared" si="6"/>
        <v>0</v>
      </c>
      <c r="BK30" s="122">
        <f t="shared" si="6"/>
        <v>0</v>
      </c>
      <c r="BL30" s="122">
        <f t="shared" si="6"/>
        <v>0</v>
      </c>
      <c r="BM30" s="122">
        <f t="shared" si="6"/>
        <v>0</v>
      </c>
      <c r="BN30" s="122"/>
      <c r="BO30" s="122"/>
      <c r="BP30" s="122"/>
      <c r="BQ30" s="122"/>
      <c r="BR30" s="122"/>
      <c r="BS30" s="122"/>
      <c r="BT30" s="55"/>
    </row>
    <row r="31" spans="1:72" ht="52.5" hidden="1" customHeight="1" outlineLevel="1" x14ac:dyDescent="0.25">
      <c r="A31" s="124"/>
      <c r="B31" s="59">
        <v>1</v>
      </c>
      <c r="C31" s="122" t="s">
        <v>199</v>
      </c>
      <c r="D31" s="122" t="s">
        <v>200</v>
      </c>
      <c r="E31" s="122" t="s">
        <v>9</v>
      </c>
      <c r="F31" s="122">
        <v>774356</v>
      </c>
      <c r="G31" s="122">
        <v>766377</v>
      </c>
      <c r="H31" s="122">
        <v>719520</v>
      </c>
      <c r="I31" s="122">
        <f>G31-H31</f>
        <v>46857</v>
      </c>
      <c r="J31" s="122">
        <v>1</v>
      </c>
      <c r="K31" s="122">
        <v>1</v>
      </c>
      <c r="L31" s="122"/>
      <c r="M31" s="122">
        <v>511111</v>
      </c>
      <c r="N31" s="122">
        <f>AC31+AI31</f>
        <v>208410</v>
      </c>
      <c r="O31" s="122">
        <v>339739</v>
      </c>
      <c r="P31" s="122">
        <v>1</v>
      </c>
      <c r="Q31" s="100">
        <v>339739</v>
      </c>
      <c r="R31" s="122">
        <v>1</v>
      </c>
      <c r="S31" s="122">
        <f>Q31-AC31</f>
        <v>152170</v>
      </c>
      <c r="T31" s="122"/>
      <c r="U31" s="26">
        <f>W31+Y31</f>
        <v>140997</v>
      </c>
      <c r="V31" s="122">
        <f t="shared" ref="V31:V39" si="7">X31+Z31</f>
        <v>1</v>
      </c>
      <c r="W31" s="122">
        <v>140997</v>
      </c>
      <c r="X31" s="122">
        <f>IF(W31,1,0)</f>
        <v>1</v>
      </c>
      <c r="Y31" s="122"/>
      <c r="Z31" s="122">
        <f>IF(Y31,1,0)</f>
        <v>0</v>
      </c>
      <c r="AA31" s="122"/>
      <c r="AB31" s="122">
        <v>46572</v>
      </c>
      <c r="AC31" s="26">
        <f>AE31+AG31</f>
        <v>187569</v>
      </c>
      <c r="AD31" s="122">
        <f t="shared" si="4"/>
        <v>1</v>
      </c>
      <c r="AE31" s="122">
        <f>140997+46572</f>
        <v>187569</v>
      </c>
      <c r="AF31" s="122">
        <f>IF(AE31,1,0)</f>
        <v>1</v>
      </c>
      <c r="AG31" s="122"/>
      <c r="AH31" s="122">
        <f>IF(AG31,1,0)</f>
        <v>0</v>
      </c>
      <c r="AI31" s="122">
        <f>AC31/0.9*0.1</f>
        <v>20841</v>
      </c>
      <c r="AJ31" s="122">
        <v>1</v>
      </c>
      <c r="AK31" s="122"/>
      <c r="AL31" s="122">
        <v>0</v>
      </c>
      <c r="AM31" s="122">
        <v>0</v>
      </c>
      <c r="AN31" s="122">
        <f>AL31-AR31</f>
        <v>0</v>
      </c>
      <c r="AO31" s="122"/>
      <c r="AP31" s="122">
        <f>U31-AC31</f>
        <v>-46572</v>
      </c>
      <c r="AQ31" s="122"/>
      <c r="AR31" s="34">
        <f>AT31+AV31</f>
        <v>0</v>
      </c>
      <c r="AS31" s="10">
        <f>AU31+AW31</f>
        <v>0</v>
      </c>
      <c r="AT31" s="10"/>
      <c r="AU31" s="10">
        <f>IF(AT31,1,0)</f>
        <v>0</v>
      </c>
      <c r="AV31" s="10"/>
      <c r="AW31" s="10">
        <f>IF(AV31,1,0)</f>
        <v>0</v>
      </c>
      <c r="AX31" s="10">
        <f>AR31/0.9*0.1</f>
        <v>0</v>
      </c>
      <c r="AY31" s="10"/>
      <c r="AZ31" s="10"/>
      <c r="BA31" s="10">
        <v>0</v>
      </c>
      <c r="BB31" s="10">
        <v>0</v>
      </c>
      <c r="BC31" s="10">
        <f>BA31-BE31</f>
        <v>0</v>
      </c>
      <c r="BD31" s="10"/>
      <c r="BE31" s="26">
        <f>BG31+BI31</f>
        <v>0</v>
      </c>
      <c r="BF31" s="122">
        <f>BH31+BJ31</f>
        <v>0</v>
      </c>
      <c r="BG31" s="122"/>
      <c r="BH31" s="122">
        <f>IF(BG31,1,0)</f>
        <v>0</v>
      </c>
      <c r="BI31" s="122"/>
      <c r="BJ31" s="122">
        <f>IF(BI31,1,0)</f>
        <v>0</v>
      </c>
      <c r="BK31" s="122"/>
      <c r="BL31" s="122"/>
      <c r="BM31" s="122"/>
      <c r="BN31" s="122" t="s">
        <v>201</v>
      </c>
      <c r="BO31" s="122" t="s">
        <v>202</v>
      </c>
      <c r="BP31" s="122" t="s">
        <v>203</v>
      </c>
      <c r="BQ31" s="122" t="s">
        <v>204</v>
      </c>
      <c r="BR31" s="122" t="s">
        <v>205</v>
      </c>
      <c r="BS31" s="122" t="s">
        <v>206</v>
      </c>
      <c r="BT31" s="55" t="s">
        <v>831</v>
      </c>
    </row>
    <row r="32" spans="1:72" ht="62.25" hidden="1" customHeight="1" outlineLevel="1" x14ac:dyDescent="0.25">
      <c r="A32" s="124"/>
      <c r="B32" s="59">
        <v>2</v>
      </c>
      <c r="C32" s="122" t="s">
        <v>208</v>
      </c>
      <c r="D32" s="122" t="s">
        <v>1167</v>
      </c>
      <c r="E32" s="122" t="s">
        <v>9</v>
      </c>
      <c r="F32" s="122">
        <v>294922</v>
      </c>
      <c r="G32" s="122">
        <v>280515</v>
      </c>
      <c r="H32" s="122">
        <v>234628</v>
      </c>
      <c r="I32" s="122">
        <f t="shared" ref="I32:I36" si="8">G32-H32</f>
        <v>45887</v>
      </c>
      <c r="J32" s="122">
        <v>1</v>
      </c>
      <c r="K32" s="122">
        <v>1</v>
      </c>
      <c r="L32" s="122"/>
      <c r="M32" s="122">
        <v>78823</v>
      </c>
      <c r="N32" s="122">
        <f t="shared" ref="N32:N39" si="9">AC32+AI32</f>
        <v>186143.33333333334</v>
      </c>
      <c r="O32" s="122">
        <v>181522</v>
      </c>
      <c r="P32" s="122">
        <v>1</v>
      </c>
      <c r="Q32" s="100">
        <v>181522</v>
      </c>
      <c r="R32" s="122">
        <v>1</v>
      </c>
      <c r="S32" s="122">
        <f t="shared" ref="S32:S95" si="10">Q32-AC32</f>
        <v>13993</v>
      </c>
      <c r="T32" s="122"/>
      <c r="U32" s="26">
        <f t="shared" ref="U32:U39" si="11">W32+Y32</f>
        <v>167529</v>
      </c>
      <c r="V32" s="122">
        <f t="shared" si="7"/>
        <v>1</v>
      </c>
      <c r="W32" s="122">
        <v>167529</v>
      </c>
      <c r="X32" s="122">
        <f t="shared" ref="X32:X39" si="12">IF(W32,1,0)</f>
        <v>1</v>
      </c>
      <c r="Y32" s="122"/>
      <c r="Z32" s="122">
        <f t="shared" ref="Z32:Z39" si="13">IF(Y32,1,0)</f>
        <v>0</v>
      </c>
      <c r="AA32" s="122">
        <v>0</v>
      </c>
      <c r="AB32" s="122"/>
      <c r="AC32" s="26">
        <f t="shared" ref="AC32:AD90" si="14">AE32+AG32</f>
        <v>167529</v>
      </c>
      <c r="AD32" s="122">
        <f t="shared" si="4"/>
        <v>1</v>
      </c>
      <c r="AE32" s="122">
        <v>167529</v>
      </c>
      <c r="AF32" s="122">
        <f t="shared" ref="AF32:AF39" si="15">IF(AE32,1,0)</f>
        <v>1</v>
      </c>
      <c r="AG32" s="122"/>
      <c r="AH32" s="122">
        <f t="shared" ref="AH32:AH39" si="16">IF(AG32,1,0)</f>
        <v>0</v>
      </c>
      <c r="AI32" s="122">
        <f t="shared" ref="AI32:AI39" si="17">AC32/0.9*0.1</f>
        <v>18614.333333333336</v>
      </c>
      <c r="AJ32" s="122">
        <v>1</v>
      </c>
      <c r="AK32" s="122"/>
      <c r="AL32" s="122">
        <v>0</v>
      </c>
      <c r="AM32" s="122">
        <v>0</v>
      </c>
      <c r="AN32" s="122">
        <f t="shared" ref="AN32:AN95" si="18">AL32-AR32</f>
        <v>0</v>
      </c>
      <c r="AO32" s="122"/>
      <c r="AP32" s="122">
        <f t="shared" ref="AP32:AP39" si="19">U32-AC32</f>
        <v>0</v>
      </c>
      <c r="AQ32" s="122"/>
      <c r="AR32" s="34">
        <f t="shared" ref="AR32:AS90" si="20">AT32+AV32</f>
        <v>0</v>
      </c>
      <c r="AS32" s="10">
        <f t="shared" si="20"/>
        <v>0</v>
      </c>
      <c r="AT32" s="10"/>
      <c r="AU32" s="10">
        <f t="shared" ref="AU32:AU90" si="21">IF(AT32,1,0)</f>
        <v>0</v>
      </c>
      <c r="AV32" s="10"/>
      <c r="AW32" s="10">
        <f t="shared" ref="AW32:AW90" si="22">IF(AV32,1,0)</f>
        <v>0</v>
      </c>
      <c r="AX32" s="10">
        <f t="shared" ref="AX32:AX37" si="23">AR32/0.9*0.1</f>
        <v>0</v>
      </c>
      <c r="AY32" s="10"/>
      <c r="AZ32" s="10"/>
      <c r="BA32" s="10">
        <v>0</v>
      </c>
      <c r="BB32" s="10">
        <v>0</v>
      </c>
      <c r="BC32" s="10">
        <f t="shared" ref="BC32:BC95" si="24">BA32-BE32</f>
        <v>0</v>
      </c>
      <c r="BD32" s="10"/>
      <c r="BE32" s="26">
        <f t="shared" ref="BE32:BF86" si="25">BG32+BI32</f>
        <v>0</v>
      </c>
      <c r="BF32" s="122">
        <f t="shared" si="25"/>
        <v>0</v>
      </c>
      <c r="BG32" s="122"/>
      <c r="BH32" s="122">
        <f t="shared" ref="BH32:BH90" si="26">IF(BG32,1,0)</f>
        <v>0</v>
      </c>
      <c r="BI32" s="122"/>
      <c r="BJ32" s="122">
        <f t="shared" ref="BJ32:BJ90" si="27">IF(BI32,1,0)</f>
        <v>0</v>
      </c>
      <c r="BK32" s="122"/>
      <c r="BL32" s="122"/>
      <c r="BM32" s="122"/>
      <c r="BN32" s="122" t="s">
        <v>1166</v>
      </c>
      <c r="BO32" s="122" t="s">
        <v>1170</v>
      </c>
      <c r="BP32" s="122" t="s">
        <v>1260</v>
      </c>
      <c r="BQ32" s="122" t="s">
        <v>1168</v>
      </c>
      <c r="BR32" s="122" t="s">
        <v>1169</v>
      </c>
      <c r="BS32" s="122" t="s">
        <v>207</v>
      </c>
      <c r="BT32" s="55"/>
    </row>
    <row r="33" spans="1:77" ht="50.25" hidden="1" customHeight="1" outlineLevel="1" x14ac:dyDescent="0.25">
      <c r="A33" s="124"/>
      <c r="B33" s="59">
        <v>3</v>
      </c>
      <c r="C33" s="122" t="s">
        <v>1443</v>
      </c>
      <c r="D33" s="122" t="s">
        <v>1171</v>
      </c>
      <c r="E33" s="122" t="s">
        <v>9</v>
      </c>
      <c r="F33" s="122">
        <v>590259</v>
      </c>
      <c r="G33" s="122">
        <v>549266</v>
      </c>
      <c r="H33" s="122">
        <v>519028</v>
      </c>
      <c r="I33" s="122">
        <f t="shared" si="8"/>
        <v>30238</v>
      </c>
      <c r="J33" s="122">
        <v>1</v>
      </c>
      <c r="K33" s="122">
        <v>1</v>
      </c>
      <c r="L33" s="122"/>
      <c r="M33" s="122">
        <v>243613</v>
      </c>
      <c r="N33" s="122">
        <f t="shared" si="9"/>
        <v>275413.33333333331</v>
      </c>
      <c r="O33" s="122">
        <v>275087</v>
      </c>
      <c r="P33" s="122">
        <v>1</v>
      </c>
      <c r="Q33" s="100">
        <v>275087</v>
      </c>
      <c r="R33" s="122">
        <v>1</v>
      </c>
      <c r="S33" s="122">
        <f t="shared" si="10"/>
        <v>27215</v>
      </c>
      <c r="T33" s="122"/>
      <c r="U33" s="26">
        <f t="shared" si="11"/>
        <v>247872</v>
      </c>
      <c r="V33" s="122">
        <f t="shared" si="7"/>
        <v>1</v>
      </c>
      <c r="W33" s="122">
        <v>247872</v>
      </c>
      <c r="X33" s="122">
        <f t="shared" si="12"/>
        <v>1</v>
      </c>
      <c r="Y33" s="122"/>
      <c r="Z33" s="122">
        <f t="shared" si="13"/>
        <v>0</v>
      </c>
      <c r="AA33" s="122">
        <v>0</v>
      </c>
      <c r="AB33" s="122"/>
      <c r="AC33" s="26">
        <f t="shared" si="14"/>
        <v>247872</v>
      </c>
      <c r="AD33" s="122">
        <f t="shared" si="4"/>
        <v>1</v>
      </c>
      <c r="AE33" s="122">
        <v>247872</v>
      </c>
      <c r="AF33" s="122">
        <f t="shared" si="15"/>
        <v>1</v>
      </c>
      <c r="AG33" s="122"/>
      <c r="AH33" s="122">
        <f t="shared" si="16"/>
        <v>0</v>
      </c>
      <c r="AI33" s="122">
        <f t="shared" si="17"/>
        <v>27541.333333333332</v>
      </c>
      <c r="AJ33" s="122">
        <v>1</v>
      </c>
      <c r="AK33" s="122"/>
      <c r="AL33" s="122">
        <v>0</v>
      </c>
      <c r="AM33" s="122">
        <v>0</v>
      </c>
      <c r="AN33" s="122">
        <f t="shared" si="18"/>
        <v>0</v>
      </c>
      <c r="AO33" s="122"/>
      <c r="AP33" s="122">
        <f t="shared" si="19"/>
        <v>0</v>
      </c>
      <c r="AQ33" s="122"/>
      <c r="AR33" s="34">
        <f t="shared" si="20"/>
        <v>0</v>
      </c>
      <c r="AS33" s="10">
        <f t="shared" si="20"/>
        <v>0</v>
      </c>
      <c r="AT33" s="10"/>
      <c r="AU33" s="10">
        <f t="shared" si="21"/>
        <v>0</v>
      </c>
      <c r="AV33" s="10"/>
      <c r="AW33" s="10">
        <f t="shared" si="22"/>
        <v>0</v>
      </c>
      <c r="AX33" s="10">
        <f t="shared" si="23"/>
        <v>0</v>
      </c>
      <c r="AY33" s="10"/>
      <c r="AZ33" s="10"/>
      <c r="BA33" s="10">
        <v>0</v>
      </c>
      <c r="BB33" s="10">
        <v>0</v>
      </c>
      <c r="BC33" s="10">
        <f t="shared" si="24"/>
        <v>0</v>
      </c>
      <c r="BD33" s="10"/>
      <c r="BE33" s="26">
        <f t="shared" si="25"/>
        <v>0</v>
      </c>
      <c r="BF33" s="122">
        <f t="shared" si="25"/>
        <v>0</v>
      </c>
      <c r="BG33" s="122"/>
      <c r="BH33" s="122">
        <f t="shared" si="26"/>
        <v>0</v>
      </c>
      <c r="BI33" s="122"/>
      <c r="BJ33" s="122">
        <f t="shared" si="27"/>
        <v>0</v>
      </c>
      <c r="BK33" s="122"/>
      <c r="BL33" s="122"/>
      <c r="BM33" s="122"/>
      <c r="BN33" s="122" t="s">
        <v>1172</v>
      </c>
      <c r="BO33" s="122" t="s">
        <v>1262</v>
      </c>
      <c r="BP33" s="122" t="s">
        <v>1173</v>
      </c>
      <c r="BQ33" s="122" t="s">
        <v>1175</v>
      </c>
      <c r="BR33" s="122" t="s">
        <v>1174</v>
      </c>
      <c r="BS33" s="122" t="s">
        <v>1261</v>
      </c>
      <c r="BT33" s="55" t="s">
        <v>1176</v>
      </c>
    </row>
    <row r="34" spans="1:77" ht="71.25" hidden="1" customHeight="1" outlineLevel="1" x14ac:dyDescent="0.25">
      <c r="A34" s="124"/>
      <c r="B34" s="59">
        <v>4</v>
      </c>
      <c r="C34" s="41" t="s">
        <v>209</v>
      </c>
      <c r="D34" s="122" t="s">
        <v>210</v>
      </c>
      <c r="E34" s="122" t="s">
        <v>9</v>
      </c>
      <c r="F34" s="122">
        <v>448433</v>
      </c>
      <c r="G34" s="122">
        <v>440102</v>
      </c>
      <c r="H34" s="26">
        <v>412939</v>
      </c>
      <c r="I34" s="122">
        <f t="shared" si="8"/>
        <v>27163</v>
      </c>
      <c r="J34" s="122">
        <v>1</v>
      </c>
      <c r="K34" s="122">
        <v>1</v>
      </c>
      <c r="L34" s="122"/>
      <c r="M34" s="122">
        <v>111111</v>
      </c>
      <c r="N34" s="122">
        <f t="shared" si="9"/>
        <v>301827.77777777775</v>
      </c>
      <c r="O34" s="122">
        <v>296092</v>
      </c>
      <c r="P34" s="122">
        <v>1</v>
      </c>
      <c r="Q34" s="26">
        <v>296092</v>
      </c>
      <c r="R34" s="122">
        <v>1</v>
      </c>
      <c r="S34" s="122">
        <f t="shared" si="10"/>
        <v>24447</v>
      </c>
      <c r="T34" s="122"/>
      <c r="U34" s="26">
        <f t="shared" si="11"/>
        <v>271645</v>
      </c>
      <c r="V34" s="122">
        <f t="shared" si="7"/>
        <v>1</v>
      </c>
      <c r="W34" s="122">
        <v>271645</v>
      </c>
      <c r="X34" s="122">
        <f t="shared" si="12"/>
        <v>1</v>
      </c>
      <c r="Y34" s="122"/>
      <c r="Z34" s="122">
        <f t="shared" si="13"/>
        <v>0</v>
      </c>
      <c r="AA34" s="122">
        <v>0</v>
      </c>
      <c r="AB34" s="122"/>
      <c r="AC34" s="26">
        <f t="shared" si="14"/>
        <v>271645</v>
      </c>
      <c r="AD34" s="122">
        <f t="shared" si="4"/>
        <v>1</v>
      </c>
      <c r="AE34" s="122">
        <f>271645</f>
        <v>271645</v>
      </c>
      <c r="AF34" s="122">
        <f t="shared" si="15"/>
        <v>1</v>
      </c>
      <c r="AG34" s="122"/>
      <c r="AH34" s="122">
        <f t="shared" si="16"/>
        <v>0</v>
      </c>
      <c r="AI34" s="122">
        <f t="shared" si="17"/>
        <v>30182.777777777777</v>
      </c>
      <c r="AJ34" s="122">
        <v>1</v>
      </c>
      <c r="AK34" s="122"/>
      <c r="AL34" s="122">
        <v>0</v>
      </c>
      <c r="AM34" s="122">
        <v>0</v>
      </c>
      <c r="AN34" s="122">
        <f t="shared" si="18"/>
        <v>-46572</v>
      </c>
      <c r="AO34" s="122"/>
      <c r="AP34" s="122">
        <f t="shared" si="19"/>
        <v>0</v>
      </c>
      <c r="AQ34" s="122"/>
      <c r="AR34" s="34">
        <f t="shared" si="20"/>
        <v>46572</v>
      </c>
      <c r="AS34" s="10">
        <f t="shared" si="20"/>
        <v>1</v>
      </c>
      <c r="AT34" s="10">
        <f>46572</f>
        <v>46572</v>
      </c>
      <c r="AU34" s="10">
        <f t="shared" si="21"/>
        <v>1</v>
      </c>
      <c r="AV34" s="10"/>
      <c r="AW34" s="10">
        <f t="shared" si="22"/>
        <v>0</v>
      </c>
      <c r="AX34" s="10">
        <f t="shared" si="23"/>
        <v>5174.666666666667</v>
      </c>
      <c r="AY34" s="10"/>
      <c r="AZ34" s="10"/>
      <c r="BA34" s="10">
        <v>0</v>
      </c>
      <c r="BB34" s="10">
        <v>0</v>
      </c>
      <c r="BC34" s="10">
        <f t="shared" si="24"/>
        <v>0</v>
      </c>
      <c r="BD34" s="10"/>
      <c r="BE34" s="26">
        <f t="shared" si="25"/>
        <v>0</v>
      </c>
      <c r="BF34" s="122">
        <f t="shared" si="25"/>
        <v>0</v>
      </c>
      <c r="BG34" s="122"/>
      <c r="BH34" s="122">
        <f t="shared" si="26"/>
        <v>0</v>
      </c>
      <c r="BI34" s="122"/>
      <c r="BJ34" s="122">
        <f t="shared" si="27"/>
        <v>0</v>
      </c>
      <c r="BK34" s="122"/>
      <c r="BL34" s="122"/>
      <c r="BM34" s="122"/>
      <c r="BN34" s="122" t="s">
        <v>1177</v>
      </c>
      <c r="BO34" s="122" t="s">
        <v>1182</v>
      </c>
      <c r="BP34" s="122" t="s">
        <v>1178</v>
      </c>
      <c r="BQ34" s="122" t="s">
        <v>1179</v>
      </c>
      <c r="BR34" s="122" t="s">
        <v>1180</v>
      </c>
      <c r="BS34" s="122" t="s">
        <v>1181</v>
      </c>
      <c r="BT34" s="55" t="s">
        <v>832</v>
      </c>
    </row>
    <row r="35" spans="1:77" ht="72.75" hidden="1" customHeight="1" outlineLevel="1" x14ac:dyDescent="0.25">
      <c r="A35" s="124"/>
      <c r="B35" s="59">
        <v>5</v>
      </c>
      <c r="C35" s="41" t="s">
        <v>211</v>
      </c>
      <c r="D35" s="41" t="s">
        <v>1183</v>
      </c>
      <c r="E35" s="122" t="s">
        <v>9</v>
      </c>
      <c r="F35" s="122">
        <v>275959</v>
      </c>
      <c r="G35" s="122">
        <v>269940</v>
      </c>
      <c r="H35" s="26">
        <v>253318</v>
      </c>
      <c r="I35" s="122">
        <f t="shared" si="8"/>
        <v>16622</v>
      </c>
      <c r="J35" s="122">
        <v>1</v>
      </c>
      <c r="K35" s="122">
        <v>1</v>
      </c>
      <c r="L35" s="122"/>
      <c r="M35" s="122">
        <v>111111</v>
      </c>
      <c r="N35" s="122">
        <f t="shared" si="9"/>
        <v>142206.66666666666</v>
      </c>
      <c r="O35" s="122">
        <v>142945</v>
      </c>
      <c r="P35" s="122">
        <v>1</v>
      </c>
      <c r="Q35" s="26">
        <v>142945</v>
      </c>
      <c r="R35" s="122">
        <v>1</v>
      </c>
      <c r="S35" s="122">
        <f t="shared" si="10"/>
        <v>14959</v>
      </c>
      <c r="T35" s="122"/>
      <c r="U35" s="26">
        <f t="shared" si="11"/>
        <v>127986</v>
      </c>
      <c r="V35" s="122">
        <f t="shared" si="7"/>
        <v>1</v>
      </c>
      <c r="W35" s="122">
        <v>127986</v>
      </c>
      <c r="X35" s="122">
        <f t="shared" si="12"/>
        <v>1</v>
      </c>
      <c r="Y35" s="122"/>
      <c r="Z35" s="122">
        <f t="shared" si="13"/>
        <v>0</v>
      </c>
      <c r="AA35" s="122">
        <v>0</v>
      </c>
      <c r="AB35" s="122"/>
      <c r="AC35" s="26">
        <f t="shared" si="14"/>
        <v>127986</v>
      </c>
      <c r="AD35" s="122">
        <f t="shared" si="4"/>
        <v>1</v>
      </c>
      <c r="AE35" s="122">
        <v>127986</v>
      </c>
      <c r="AF35" s="122">
        <f t="shared" si="15"/>
        <v>1</v>
      </c>
      <c r="AG35" s="122"/>
      <c r="AH35" s="122">
        <f t="shared" si="16"/>
        <v>0</v>
      </c>
      <c r="AI35" s="122">
        <f t="shared" si="17"/>
        <v>14220.666666666666</v>
      </c>
      <c r="AJ35" s="122">
        <v>1</v>
      </c>
      <c r="AK35" s="122"/>
      <c r="AL35" s="122">
        <v>0</v>
      </c>
      <c r="AM35" s="122">
        <v>0</v>
      </c>
      <c r="AN35" s="122">
        <f t="shared" si="18"/>
        <v>0</v>
      </c>
      <c r="AO35" s="122"/>
      <c r="AP35" s="122">
        <f t="shared" si="19"/>
        <v>0</v>
      </c>
      <c r="AQ35" s="122"/>
      <c r="AR35" s="34">
        <f t="shared" si="20"/>
        <v>0</v>
      </c>
      <c r="AS35" s="10">
        <f t="shared" si="20"/>
        <v>0</v>
      </c>
      <c r="AT35" s="10"/>
      <c r="AU35" s="10">
        <f t="shared" si="21"/>
        <v>0</v>
      </c>
      <c r="AV35" s="10"/>
      <c r="AW35" s="10">
        <f t="shared" si="22"/>
        <v>0</v>
      </c>
      <c r="AX35" s="10">
        <f t="shared" si="23"/>
        <v>0</v>
      </c>
      <c r="AY35" s="10"/>
      <c r="AZ35" s="10"/>
      <c r="BA35" s="10">
        <v>0</v>
      </c>
      <c r="BB35" s="10">
        <v>0</v>
      </c>
      <c r="BC35" s="10">
        <f t="shared" si="24"/>
        <v>0</v>
      </c>
      <c r="BD35" s="10"/>
      <c r="BE35" s="26">
        <f t="shared" si="25"/>
        <v>0</v>
      </c>
      <c r="BF35" s="122">
        <f t="shared" si="25"/>
        <v>0</v>
      </c>
      <c r="BG35" s="122"/>
      <c r="BH35" s="122">
        <f t="shared" si="26"/>
        <v>0</v>
      </c>
      <c r="BI35" s="122"/>
      <c r="BJ35" s="122">
        <f t="shared" si="27"/>
        <v>0</v>
      </c>
      <c r="BK35" s="122"/>
      <c r="BL35" s="122"/>
      <c r="BM35" s="122"/>
      <c r="BN35" s="122" t="s">
        <v>1184</v>
      </c>
      <c r="BO35" s="122" t="s">
        <v>1263</v>
      </c>
      <c r="BP35" s="122" t="s">
        <v>1185</v>
      </c>
      <c r="BQ35" s="122" t="s">
        <v>1186</v>
      </c>
      <c r="BR35" s="122" t="s">
        <v>1549</v>
      </c>
      <c r="BS35" s="122" t="s">
        <v>1187</v>
      </c>
      <c r="BT35" s="55" t="s">
        <v>833</v>
      </c>
    </row>
    <row r="36" spans="1:77" ht="57.75" hidden="1" customHeight="1" outlineLevel="1" x14ac:dyDescent="0.25">
      <c r="A36" s="124"/>
      <c r="B36" s="59">
        <v>6</v>
      </c>
      <c r="C36" s="41" t="s">
        <v>212</v>
      </c>
      <c r="D36" s="122" t="s">
        <v>213</v>
      </c>
      <c r="E36" s="122" t="s">
        <v>9</v>
      </c>
      <c r="F36" s="122">
        <v>1046882</v>
      </c>
      <c r="G36" s="122">
        <v>1031853</v>
      </c>
      <c r="H36" s="26">
        <v>967821</v>
      </c>
      <c r="I36" s="122">
        <f t="shared" si="8"/>
        <v>64032</v>
      </c>
      <c r="J36" s="122">
        <v>1</v>
      </c>
      <c r="K36" s="122">
        <v>1</v>
      </c>
      <c r="L36" s="122"/>
      <c r="M36" s="122">
        <v>463238</v>
      </c>
      <c r="N36" s="122">
        <f t="shared" si="9"/>
        <v>504583.33333333331</v>
      </c>
      <c r="O36" s="122">
        <v>592902</v>
      </c>
      <c r="P36" s="122">
        <v>1</v>
      </c>
      <c r="Q36" s="26">
        <v>592902</v>
      </c>
      <c r="R36" s="122">
        <v>1</v>
      </c>
      <c r="S36" s="122">
        <f t="shared" si="10"/>
        <v>138777</v>
      </c>
      <c r="T36" s="122"/>
      <c r="U36" s="26">
        <f t="shared" si="11"/>
        <v>454125</v>
      </c>
      <c r="V36" s="122">
        <f t="shared" si="7"/>
        <v>1</v>
      </c>
      <c r="W36" s="122">
        <v>454125</v>
      </c>
      <c r="X36" s="122">
        <f t="shared" si="12"/>
        <v>1</v>
      </c>
      <c r="Y36" s="122"/>
      <c r="Z36" s="122">
        <f t="shared" si="13"/>
        <v>0</v>
      </c>
      <c r="AA36" s="122">
        <v>0</v>
      </c>
      <c r="AB36" s="122"/>
      <c r="AC36" s="26">
        <f t="shared" si="14"/>
        <v>454125</v>
      </c>
      <c r="AD36" s="122">
        <f t="shared" si="4"/>
        <v>1</v>
      </c>
      <c r="AE36" s="122">
        <v>454125</v>
      </c>
      <c r="AF36" s="122">
        <f t="shared" si="15"/>
        <v>1</v>
      </c>
      <c r="AG36" s="122"/>
      <c r="AH36" s="122">
        <f t="shared" si="16"/>
        <v>0</v>
      </c>
      <c r="AI36" s="122">
        <f t="shared" si="17"/>
        <v>50458.333333333336</v>
      </c>
      <c r="AJ36" s="122">
        <v>1</v>
      </c>
      <c r="AK36" s="122"/>
      <c r="AL36" s="122">
        <v>0</v>
      </c>
      <c r="AM36" s="122">
        <v>0</v>
      </c>
      <c r="AN36" s="122">
        <f t="shared" si="18"/>
        <v>0</v>
      </c>
      <c r="AO36" s="122"/>
      <c r="AP36" s="122">
        <f t="shared" si="19"/>
        <v>0</v>
      </c>
      <c r="AQ36" s="122"/>
      <c r="AR36" s="34">
        <f t="shared" si="20"/>
        <v>0</v>
      </c>
      <c r="AS36" s="10">
        <f t="shared" si="20"/>
        <v>0</v>
      </c>
      <c r="AT36" s="10"/>
      <c r="AU36" s="10">
        <f t="shared" si="21"/>
        <v>0</v>
      </c>
      <c r="AV36" s="10"/>
      <c r="AW36" s="10">
        <f t="shared" si="22"/>
        <v>0</v>
      </c>
      <c r="AX36" s="10">
        <f t="shared" si="23"/>
        <v>0</v>
      </c>
      <c r="AY36" s="10"/>
      <c r="AZ36" s="10"/>
      <c r="BA36" s="10">
        <v>0</v>
      </c>
      <c r="BB36" s="10">
        <v>0</v>
      </c>
      <c r="BC36" s="10">
        <f t="shared" si="24"/>
        <v>0</v>
      </c>
      <c r="BD36" s="10"/>
      <c r="BE36" s="26">
        <f t="shared" si="25"/>
        <v>0</v>
      </c>
      <c r="BF36" s="122">
        <f t="shared" si="25"/>
        <v>0</v>
      </c>
      <c r="BG36" s="122"/>
      <c r="BH36" s="122">
        <f t="shared" si="26"/>
        <v>0</v>
      </c>
      <c r="BI36" s="122"/>
      <c r="BJ36" s="122">
        <f t="shared" si="27"/>
        <v>0</v>
      </c>
      <c r="BK36" s="122"/>
      <c r="BL36" s="122"/>
      <c r="BM36" s="122"/>
      <c r="BN36" s="122" t="s">
        <v>214</v>
      </c>
      <c r="BO36" s="122" t="s">
        <v>215</v>
      </c>
      <c r="BP36" s="122" t="s">
        <v>216</v>
      </c>
      <c r="BQ36" s="122" t="s">
        <v>217</v>
      </c>
      <c r="BR36" s="122" t="s">
        <v>218</v>
      </c>
      <c r="BS36" s="122" t="s">
        <v>219</v>
      </c>
      <c r="BT36" s="55" t="s">
        <v>834</v>
      </c>
    </row>
    <row r="37" spans="1:77" ht="42.75" hidden="1" customHeight="1" outlineLevel="1" x14ac:dyDescent="0.25">
      <c r="A37" s="124"/>
      <c r="B37" s="59">
        <v>7</v>
      </c>
      <c r="C37" s="122" t="s">
        <v>169</v>
      </c>
      <c r="D37" s="122" t="s">
        <v>191</v>
      </c>
      <c r="E37" s="122">
        <v>2015</v>
      </c>
      <c r="F37" s="122">
        <v>187747</v>
      </c>
      <c r="G37" s="122">
        <v>178958.31700000001</v>
      </c>
      <c r="H37" s="122"/>
      <c r="I37" s="122"/>
      <c r="J37" s="122"/>
      <c r="K37" s="122">
        <v>1</v>
      </c>
      <c r="L37" s="122"/>
      <c r="M37" s="122">
        <v>0</v>
      </c>
      <c r="N37" s="122">
        <f t="shared" si="9"/>
        <v>0</v>
      </c>
      <c r="O37" s="122">
        <v>161062</v>
      </c>
      <c r="P37" s="122">
        <v>1</v>
      </c>
      <c r="Q37" s="26">
        <v>161062</v>
      </c>
      <c r="R37" s="122">
        <v>1</v>
      </c>
      <c r="S37" s="122">
        <f t="shared" si="10"/>
        <v>161062</v>
      </c>
      <c r="T37" s="122"/>
      <c r="U37" s="26">
        <f t="shared" si="11"/>
        <v>161062</v>
      </c>
      <c r="V37" s="122">
        <f t="shared" si="7"/>
        <v>1</v>
      </c>
      <c r="W37" s="122"/>
      <c r="X37" s="122">
        <f t="shared" si="12"/>
        <v>0</v>
      </c>
      <c r="Y37" s="122">
        <v>161062</v>
      </c>
      <c r="Z37" s="122">
        <f t="shared" si="13"/>
        <v>1</v>
      </c>
      <c r="AA37" s="122">
        <v>-161062</v>
      </c>
      <c r="AB37" s="122"/>
      <c r="AC37" s="26">
        <f t="shared" si="14"/>
        <v>0</v>
      </c>
      <c r="AD37" s="122">
        <f t="shared" si="4"/>
        <v>0</v>
      </c>
      <c r="AE37" s="122"/>
      <c r="AF37" s="122">
        <f t="shared" si="15"/>
        <v>0</v>
      </c>
      <c r="AG37" s="122"/>
      <c r="AH37" s="122">
        <f t="shared" si="16"/>
        <v>0</v>
      </c>
      <c r="AI37" s="122">
        <f t="shared" si="17"/>
        <v>0</v>
      </c>
      <c r="AJ37" s="122">
        <v>1</v>
      </c>
      <c r="AK37" s="122"/>
      <c r="AL37" s="122">
        <v>0</v>
      </c>
      <c r="AM37" s="122">
        <v>0</v>
      </c>
      <c r="AN37" s="122">
        <f t="shared" si="18"/>
        <v>-161062</v>
      </c>
      <c r="AO37" s="122"/>
      <c r="AP37" s="122">
        <f t="shared" si="19"/>
        <v>161062</v>
      </c>
      <c r="AQ37" s="122"/>
      <c r="AR37" s="34">
        <f t="shared" si="20"/>
        <v>161062</v>
      </c>
      <c r="AS37" s="10">
        <f t="shared" si="20"/>
        <v>1</v>
      </c>
      <c r="AT37" s="10">
        <v>161062</v>
      </c>
      <c r="AU37" s="10">
        <f t="shared" si="21"/>
        <v>1</v>
      </c>
      <c r="AV37" s="10"/>
      <c r="AW37" s="10">
        <f t="shared" si="22"/>
        <v>0</v>
      </c>
      <c r="AX37" s="10">
        <f t="shared" si="23"/>
        <v>17895.777777777777</v>
      </c>
      <c r="AY37" s="10"/>
      <c r="AZ37" s="10"/>
      <c r="BA37" s="10">
        <v>0</v>
      </c>
      <c r="BB37" s="10">
        <v>0</v>
      </c>
      <c r="BC37" s="10">
        <f t="shared" si="24"/>
        <v>0</v>
      </c>
      <c r="BD37" s="10"/>
      <c r="BE37" s="26">
        <f t="shared" si="25"/>
        <v>0</v>
      </c>
      <c r="BF37" s="122">
        <f t="shared" si="25"/>
        <v>0</v>
      </c>
      <c r="BG37" s="122"/>
      <c r="BH37" s="122">
        <f t="shared" si="26"/>
        <v>0</v>
      </c>
      <c r="BI37" s="122"/>
      <c r="BJ37" s="122">
        <f t="shared" si="27"/>
        <v>0</v>
      </c>
      <c r="BK37" s="122"/>
      <c r="BL37" s="122"/>
      <c r="BM37" s="122"/>
      <c r="BN37" s="122" t="s">
        <v>170</v>
      </c>
      <c r="BO37" s="122" t="s">
        <v>171</v>
      </c>
      <c r="BP37" s="122" t="s">
        <v>172</v>
      </c>
      <c r="BQ37" s="122" t="s">
        <v>173</v>
      </c>
      <c r="BR37" s="122" t="s">
        <v>174</v>
      </c>
      <c r="BS37" s="122" t="s">
        <v>175</v>
      </c>
      <c r="BT37" s="55" t="s">
        <v>176</v>
      </c>
    </row>
    <row r="38" spans="1:77" ht="62.25" hidden="1" customHeight="1" outlineLevel="1" x14ac:dyDescent="0.25">
      <c r="A38" s="124"/>
      <c r="B38" s="59">
        <v>8</v>
      </c>
      <c r="C38" s="67" t="s">
        <v>177</v>
      </c>
      <c r="D38" s="122" t="s">
        <v>194</v>
      </c>
      <c r="E38" s="122" t="s">
        <v>10</v>
      </c>
      <c r="F38" s="122">
        <v>590786</v>
      </c>
      <c r="G38" s="122">
        <v>579021.02099999995</v>
      </c>
      <c r="H38" s="122"/>
      <c r="I38" s="122"/>
      <c r="J38" s="122"/>
      <c r="K38" s="122"/>
      <c r="L38" s="122"/>
      <c r="M38" s="122">
        <v>0</v>
      </c>
      <c r="N38" s="122">
        <f t="shared" si="9"/>
        <v>0</v>
      </c>
      <c r="O38" s="122">
        <v>260559</v>
      </c>
      <c r="P38" s="122">
        <v>1</v>
      </c>
      <c r="Q38" s="26">
        <v>250000</v>
      </c>
      <c r="R38" s="122">
        <v>1</v>
      </c>
      <c r="S38" s="122">
        <f t="shared" si="10"/>
        <v>250000</v>
      </c>
      <c r="T38" s="122"/>
      <c r="U38" s="26">
        <f t="shared" si="11"/>
        <v>295439</v>
      </c>
      <c r="V38" s="122">
        <f t="shared" si="7"/>
        <v>1</v>
      </c>
      <c r="W38" s="122"/>
      <c r="X38" s="122">
        <f t="shared" si="12"/>
        <v>0</v>
      </c>
      <c r="Y38" s="122">
        <v>295439</v>
      </c>
      <c r="Z38" s="122">
        <f t="shared" si="13"/>
        <v>1</v>
      </c>
      <c r="AA38" s="122">
        <v>-295439</v>
      </c>
      <c r="AB38" s="122"/>
      <c r="AC38" s="26">
        <f>AE38+AG38</f>
        <v>0</v>
      </c>
      <c r="AD38" s="122">
        <f t="shared" si="4"/>
        <v>0</v>
      </c>
      <c r="AE38" s="122"/>
      <c r="AF38" s="122">
        <f t="shared" si="15"/>
        <v>0</v>
      </c>
      <c r="AG38" s="122"/>
      <c r="AH38" s="122">
        <f t="shared" si="16"/>
        <v>0</v>
      </c>
      <c r="AI38" s="122">
        <f t="shared" si="17"/>
        <v>0</v>
      </c>
      <c r="AJ38" s="122"/>
      <c r="AK38" s="122">
        <v>1</v>
      </c>
      <c r="AL38" s="122">
        <v>271119</v>
      </c>
      <c r="AM38" s="122">
        <v>1</v>
      </c>
      <c r="AN38" s="122">
        <f t="shared" si="18"/>
        <v>-250000</v>
      </c>
      <c r="AO38" s="122"/>
      <c r="AP38" s="122">
        <f t="shared" si="19"/>
        <v>295439</v>
      </c>
      <c r="AQ38" s="122"/>
      <c r="AR38" s="34">
        <f t="shared" si="20"/>
        <v>521119</v>
      </c>
      <c r="AS38" s="10">
        <f t="shared" si="20"/>
        <v>1</v>
      </c>
      <c r="AT38" s="10">
        <f>225680+295439</f>
        <v>521119</v>
      </c>
      <c r="AU38" s="10">
        <f t="shared" si="21"/>
        <v>1</v>
      </c>
      <c r="AV38" s="10"/>
      <c r="AW38" s="10">
        <f t="shared" si="22"/>
        <v>0</v>
      </c>
      <c r="AX38" s="10">
        <f>AT38/0.9*0.1</f>
        <v>57902.111111111117</v>
      </c>
      <c r="AY38" s="10">
        <v>1</v>
      </c>
      <c r="AZ38" s="10"/>
      <c r="BA38" s="10">
        <v>0</v>
      </c>
      <c r="BB38" s="10">
        <v>0</v>
      </c>
      <c r="BC38" s="10">
        <f t="shared" si="24"/>
        <v>0</v>
      </c>
      <c r="BD38" s="10"/>
      <c r="BE38" s="26">
        <f t="shared" si="25"/>
        <v>0</v>
      </c>
      <c r="BF38" s="122">
        <f t="shared" si="25"/>
        <v>0</v>
      </c>
      <c r="BG38" s="122"/>
      <c r="BH38" s="122">
        <f t="shared" si="26"/>
        <v>0</v>
      </c>
      <c r="BI38" s="122"/>
      <c r="BJ38" s="122">
        <f t="shared" si="27"/>
        <v>0</v>
      </c>
      <c r="BK38" s="122"/>
      <c r="BL38" s="122"/>
      <c r="BM38" s="122"/>
      <c r="BN38" s="122" t="s">
        <v>178</v>
      </c>
      <c r="BO38" s="122" t="s">
        <v>179</v>
      </c>
      <c r="BP38" s="122" t="s">
        <v>180</v>
      </c>
      <c r="BQ38" s="122" t="s">
        <v>181</v>
      </c>
      <c r="BR38" s="122" t="s">
        <v>182</v>
      </c>
      <c r="BS38" s="122" t="s">
        <v>183</v>
      </c>
      <c r="BT38" s="55" t="s">
        <v>1079</v>
      </c>
    </row>
    <row r="39" spans="1:77" ht="52.5" hidden="1" customHeight="1" outlineLevel="1" x14ac:dyDescent="0.25">
      <c r="A39" s="124"/>
      <c r="B39" s="59">
        <v>9</v>
      </c>
      <c r="C39" s="122" t="s">
        <v>192</v>
      </c>
      <c r="D39" s="122" t="s">
        <v>193</v>
      </c>
      <c r="E39" s="122" t="s">
        <v>10</v>
      </c>
      <c r="F39" s="122">
        <v>664477</v>
      </c>
      <c r="G39" s="122">
        <v>643915.71</v>
      </c>
      <c r="H39" s="122"/>
      <c r="I39" s="122"/>
      <c r="J39" s="122"/>
      <c r="K39" s="122"/>
      <c r="L39" s="122"/>
      <c r="M39" s="122">
        <v>0</v>
      </c>
      <c r="N39" s="122">
        <f t="shared" si="9"/>
        <v>0</v>
      </c>
      <c r="O39" s="122">
        <v>289762</v>
      </c>
      <c r="P39" s="122">
        <v>1</v>
      </c>
      <c r="Q39" s="26">
        <v>80000</v>
      </c>
      <c r="R39" s="122">
        <v>1</v>
      </c>
      <c r="S39" s="122">
        <f t="shared" si="10"/>
        <v>80000</v>
      </c>
      <c r="T39" s="122"/>
      <c r="U39" s="26">
        <f t="shared" si="11"/>
        <v>142694</v>
      </c>
      <c r="V39" s="122">
        <f t="shared" si="7"/>
        <v>1</v>
      </c>
      <c r="W39" s="122"/>
      <c r="X39" s="122">
        <f t="shared" si="12"/>
        <v>0</v>
      </c>
      <c r="Y39" s="122">
        <v>142694</v>
      </c>
      <c r="Z39" s="122">
        <f t="shared" si="13"/>
        <v>1</v>
      </c>
      <c r="AA39" s="122">
        <v>-142694</v>
      </c>
      <c r="AB39" s="122"/>
      <c r="AC39" s="26">
        <f t="shared" si="14"/>
        <v>0</v>
      </c>
      <c r="AD39" s="122">
        <f t="shared" si="4"/>
        <v>0</v>
      </c>
      <c r="AE39" s="122"/>
      <c r="AF39" s="122">
        <f t="shared" si="15"/>
        <v>0</v>
      </c>
      <c r="AG39" s="122"/>
      <c r="AH39" s="122">
        <f t="shared" si="16"/>
        <v>0</v>
      </c>
      <c r="AI39" s="122">
        <f t="shared" si="17"/>
        <v>0</v>
      </c>
      <c r="AJ39" s="122"/>
      <c r="AK39" s="122">
        <v>1</v>
      </c>
      <c r="AL39" s="122">
        <v>499524</v>
      </c>
      <c r="AM39" s="122">
        <v>1</v>
      </c>
      <c r="AN39" s="122">
        <f t="shared" si="18"/>
        <v>-80001</v>
      </c>
      <c r="AO39" s="122"/>
      <c r="AP39" s="122">
        <f t="shared" si="19"/>
        <v>142694</v>
      </c>
      <c r="AQ39" s="122"/>
      <c r="AR39" s="34">
        <f t="shared" si="20"/>
        <v>579525</v>
      </c>
      <c r="AS39" s="10">
        <f t="shared" si="20"/>
        <v>1</v>
      </c>
      <c r="AT39" s="10">
        <f>199525+27306+210000+142694</f>
        <v>579525</v>
      </c>
      <c r="AU39" s="10">
        <f t="shared" si="21"/>
        <v>1</v>
      </c>
      <c r="AV39" s="10"/>
      <c r="AW39" s="10">
        <f t="shared" si="22"/>
        <v>0</v>
      </c>
      <c r="AX39" s="10">
        <f>AT39/0.9*0.1</f>
        <v>64391.666666666664</v>
      </c>
      <c r="AY39" s="10">
        <v>1</v>
      </c>
      <c r="AZ39" s="10"/>
      <c r="BA39" s="10">
        <v>0</v>
      </c>
      <c r="BB39" s="10">
        <v>0</v>
      </c>
      <c r="BC39" s="10">
        <f t="shared" si="24"/>
        <v>0</v>
      </c>
      <c r="BD39" s="10"/>
      <c r="BE39" s="26">
        <f t="shared" si="25"/>
        <v>0</v>
      </c>
      <c r="BF39" s="122">
        <f t="shared" si="25"/>
        <v>0</v>
      </c>
      <c r="BG39" s="122"/>
      <c r="BH39" s="122">
        <f t="shared" si="26"/>
        <v>0</v>
      </c>
      <c r="BI39" s="122"/>
      <c r="BJ39" s="122">
        <f t="shared" si="27"/>
        <v>0</v>
      </c>
      <c r="BK39" s="122"/>
      <c r="BL39" s="122"/>
      <c r="BM39" s="122"/>
      <c r="BN39" s="122" t="s">
        <v>184</v>
      </c>
      <c r="BO39" s="122" t="s">
        <v>185</v>
      </c>
      <c r="BP39" s="122" t="s">
        <v>186</v>
      </c>
      <c r="BQ39" s="122" t="s">
        <v>187</v>
      </c>
      <c r="BR39" s="122" t="s">
        <v>188</v>
      </c>
      <c r="BS39" s="122" t="s">
        <v>189</v>
      </c>
      <c r="BT39" s="55" t="s">
        <v>190</v>
      </c>
    </row>
    <row r="40" spans="1:77" s="35" customFormat="1" ht="11.25" collapsed="1" x14ac:dyDescent="0.25">
      <c r="A40" s="48"/>
      <c r="B40" s="60">
        <v>17</v>
      </c>
      <c r="C40" s="26" t="s">
        <v>533</v>
      </c>
      <c r="D40" s="26"/>
      <c r="E40" s="26"/>
      <c r="F40" s="26">
        <f>F41+F58</f>
        <v>5712966.0619999999</v>
      </c>
      <c r="G40" s="26">
        <f>G41+G58</f>
        <v>5570729</v>
      </c>
      <c r="H40" s="26" t="e">
        <f>H41</f>
        <v>#REF!</v>
      </c>
      <c r="I40" s="26" t="e">
        <f>I41</f>
        <v>#REF!</v>
      </c>
      <c r="J40" s="26"/>
      <c r="K40" s="26"/>
      <c r="L40" s="26"/>
      <c r="M40" s="26">
        <f>M41+M58</f>
        <v>675000</v>
      </c>
      <c r="N40" s="26">
        <f>N41+N58</f>
        <v>950000</v>
      </c>
      <c r="O40" s="26">
        <v>4076259</v>
      </c>
      <c r="P40" s="26">
        <v>19</v>
      </c>
      <c r="Q40" s="26">
        <v>3433276</v>
      </c>
      <c r="R40" s="26">
        <v>16</v>
      </c>
      <c r="S40" s="26">
        <f>Q40-AC40</f>
        <v>2673276</v>
      </c>
      <c r="T40" s="26">
        <f>T41+T58</f>
        <v>0</v>
      </c>
      <c r="U40" s="26">
        <f t="shared" ref="U40:AB40" si="28">U41+U58</f>
        <v>3312456</v>
      </c>
      <c r="V40" s="26">
        <f t="shared" si="28"/>
        <v>15</v>
      </c>
      <c r="W40" s="26">
        <f t="shared" si="28"/>
        <v>760000</v>
      </c>
      <c r="X40" s="26">
        <f t="shared" si="28"/>
        <v>3</v>
      </c>
      <c r="Y40" s="26">
        <f t="shared" si="28"/>
        <v>2552456</v>
      </c>
      <c r="Z40" s="26">
        <f t="shared" si="28"/>
        <v>12</v>
      </c>
      <c r="AA40" s="26">
        <f t="shared" si="28"/>
        <v>-2552456</v>
      </c>
      <c r="AB40" s="26">
        <f t="shared" si="28"/>
        <v>0</v>
      </c>
      <c r="AC40" s="26">
        <f>AC41+AC58</f>
        <v>760000</v>
      </c>
      <c r="AD40" s="26">
        <f t="shared" si="4"/>
        <v>3</v>
      </c>
      <c r="AE40" s="26">
        <f>AE41+AE58</f>
        <v>760000</v>
      </c>
      <c r="AF40" s="26">
        <f>AF41+AF58</f>
        <v>3</v>
      </c>
      <c r="AG40" s="26">
        <f>AG41+AG58</f>
        <v>0</v>
      </c>
      <c r="AH40" s="26">
        <f>AH41+AH58</f>
        <v>0</v>
      </c>
      <c r="AI40" s="26">
        <f>AI41+AI58</f>
        <v>190000</v>
      </c>
      <c r="AJ40" s="26">
        <f t="shared" ref="AJ40:AZ40" si="29">AJ41+AJ58</f>
        <v>14</v>
      </c>
      <c r="AK40" s="26">
        <f t="shared" si="29"/>
        <v>1</v>
      </c>
      <c r="AL40" s="26">
        <f t="shared" si="29"/>
        <v>560719</v>
      </c>
      <c r="AM40" s="26">
        <f t="shared" si="29"/>
        <v>3</v>
      </c>
      <c r="AN40" s="26">
        <f t="shared" si="29"/>
        <v>-2552456</v>
      </c>
      <c r="AO40" s="26">
        <f t="shared" si="29"/>
        <v>0</v>
      </c>
      <c r="AP40" s="26">
        <f t="shared" si="29"/>
        <v>2552456</v>
      </c>
      <c r="AQ40" s="26">
        <f t="shared" si="29"/>
        <v>0</v>
      </c>
      <c r="AR40" s="26">
        <f t="shared" si="29"/>
        <v>3113175</v>
      </c>
      <c r="AS40" s="26">
        <f t="shared" si="29"/>
        <v>16</v>
      </c>
      <c r="AT40" s="26">
        <f t="shared" si="29"/>
        <v>624284</v>
      </c>
      <c r="AU40" s="26">
        <f t="shared" si="29"/>
        <v>4</v>
      </c>
      <c r="AV40" s="26">
        <f t="shared" si="29"/>
        <v>2488891</v>
      </c>
      <c r="AW40" s="26">
        <f t="shared" si="29"/>
        <v>12</v>
      </c>
      <c r="AX40" s="26">
        <f t="shared" si="29"/>
        <v>778293.75</v>
      </c>
      <c r="AY40" s="26">
        <f t="shared" si="29"/>
        <v>3</v>
      </c>
      <c r="AZ40" s="26">
        <f t="shared" si="29"/>
        <v>60557</v>
      </c>
      <c r="BA40" s="26">
        <v>0</v>
      </c>
      <c r="BB40" s="26">
        <v>0</v>
      </c>
      <c r="BC40" s="34">
        <f t="shared" si="24"/>
        <v>0</v>
      </c>
      <c r="BD40" s="26"/>
      <c r="BE40" s="26">
        <f t="shared" ref="BE40:BT40" si="30">BE41+BE58</f>
        <v>0</v>
      </c>
      <c r="BF40" s="26">
        <f t="shared" si="30"/>
        <v>0</v>
      </c>
      <c r="BG40" s="26">
        <f t="shared" si="30"/>
        <v>0</v>
      </c>
      <c r="BH40" s="26">
        <f t="shared" si="30"/>
        <v>0</v>
      </c>
      <c r="BI40" s="26">
        <f t="shared" si="30"/>
        <v>0</v>
      </c>
      <c r="BJ40" s="26">
        <f t="shared" si="30"/>
        <v>0</v>
      </c>
      <c r="BK40" s="26">
        <f t="shared" si="30"/>
        <v>0</v>
      </c>
      <c r="BL40" s="26">
        <f t="shared" si="30"/>
        <v>0</v>
      </c>
      <c r="BM40" s="26">
        <f t="shared" si="30"/>
        <v>0</v>
      </c>
      <c r="BN40" s="26">
        <f t="shared" si="30"/>
        <v>0</v>
      </c>
      <c r="BO40" s="26">
        <f t="shared" si="30"/>
        <v>0</v>
      </c>
      <c r="BP40" s="26">
        <f t="shared" si="30"/>
        <v>0</v>
      </c>
      <c r="BQ40" s="26">
        <f t="shared" si="30"/>
        <v>0</v>
      </c>
      <c r="BR40" s="26">
        <f t="shared" si="30"/>
        <v>0</v>
      </c>
      <c r="BS40" s="26">
        <f t="shared" si="30"/>
        <v>0</v>
      </c>
      <c r="BT40" s="58">
        <f t="shared" si="30"/>
        <v>0</v>
      </c>
      <c r="BU40" s="25"/>
      <c r="BV40" s="25"/>
      <c r="BW40" s="25"/>
      <c r="BX40" s="25"/>
      <c r="BY40" s="25"/>
    </row>
    <row r="41" spans="1:77" ht="11.25" hidden="1" outlineLevel="1" x14ac:dyDescent="0.25">
      <c r="A41" s="124"/>
      <c r="B41" s="125"/>
      <c r="C41" s="11" t="s">
        <v>7</v>
      </c>
      <c r="D41" s="122"/>
      <c r="E41" s="122"/>
      <c r="F41" s="122">
        <f>SUM(F42:F57)</f>
        <v>5397093.7620000001</v>
      </c>
      <c r="G41" s="122">
        <f>SUM(G42:G57)</f>
        <v>5267944</v>
      </c>
      <c r="H41" s="122" t="e">
        <f>#REF!+H42+H43+H44</f>
        <v>#REF!</v>
      </c>
      <c r="I41" s="122" t="e">
        <f>#REF!+I42+I43+I44</f>
        <v>#REF!</v>
      </c>
      <c r="J41" s="122"/>
      <c r="K41" s="122"/>
      <c r="L41" s="122"/>
      <c r="M41" s="122">
        <f>SUM(M42:M57)</f>
        <v>675000</v>
      </c>
      <c r="N41" s="122">
        <f>AC41+AI41</f>
        <v>950000</v>
      </c>
      <c r="O41" s="122">
        <v>3834031</v>
      </c>
      <c r="P41" s="122">
        <v>18</v>
      </c>
      <c r="Q41" s="26">
        <v>3191048</v>
      </c>
      <c r="R41" s="122">
        <v>15</v>
      </c>
      <c r="S41" s="26">
        <f>SUM(S42:S57)</f>
        <v>2333637</v>
      </c>
      <c r="T41" s="26">
        <f>SUM(T42:T57)</f>
        <v>0</v>
      </c>
      <c r="U41" s="26">
        <f t="shared" ref="U41:AB41" si="31">SUM(U42:U57)</f>
        <v>3070228</v>
      </c>
      <c r="V41" s="26">
        <f t="shared" si="31"/>
        <v>14</v>
      </c>
      <c r="W41" s="26">
        <f t="shared" si="31"/>
        <v>760000</v>
      </c>
      <c r="X41" s="26">
        <f t="shared" si="31"/>
        <v>3</v>
      </c>
      <c r="Y41" s="26">
        <f t="shared" si="31"/>
        <v>2310228</v>
      </c>
      <c r="Z41" s="26">
        <f t="shared" si="31"/>
        <v>11</v>
      </c>
      <c r="AA41" s="26">
        <f t="shared" si="31"/>
        <v>-2310228</v>
      </c>
      <c r="AB41" s="26">
        <f t="shared" si="31"/>
        <v>0</v>
      </c>
      <c r="AC41" s="26">
        <f>SUM(AC42:AC57)</f>
        <v>760000</v>
      </c>
      <c r="AD41" s="122">
        <f t="shared" si="4"/>
        <v>3</v>
      </c>
      <c r="AE41" s="122">
        <f>SUM(AE42:AE57)</f>
        <v>760000</v>
      </c>
      <c r="AF41" s="122">
        <f>SUM(AF42:AF57)</f>
        <v>3</v>
      </c>
      <c r="AG41" s="122">
        <f>SUM(AG42:AG57)</f>
        <v>0</v>
      </c>
      <c r="AH41" s="122">
        <f>SUM(AH42:AH57)</f>
        <v>0</v>
      </c>
      <c r="AI41" s="122">
        <f>SUM(AI42:AI57)</f>
        <v>190000</v>
      </c>
      <c r="AJ41" s="122">
        <f t="shared" ref="AJ41:AQ41" si="32">SUM(AJ42:AJ57)</f>
        <v>13</v>
      </c>
      <c r="AK41" s="122">
        <f t="shared" si="32"/>
        <v>1</v>
      </c>
      <c r="AL41" s="122">
        <f t="shared" si="32"/>
        <v>560719</v>
      </c>
      <c r="AM41" s="122">
        <f t="shared" si="32"/>
        <v>3</v>
      </c>
      <c r="AN41" s="122">
        <f t="shared" si="32"/>
        <v>-2310228</v>
      </c>
      <c r="AO41" s="122">
        <f t="shared" si="32"/>
        <v>0</v>
      </c>
      <c r="AP41" s="122">
        <f t="shared" si="32"/>
        <v>2310228</v>
      </c>
      <c r="AQ41" s="122">
        <f t="shared" si="32"/>
        <v>0</v>
      </c>
      <c r="AR41" s="34">
        <f t="shared" si="20"/>
        <v>2870947</v>
      </c>
      <c r="AS41" s="10">
        <f t="shared" ref="AS41:AZ41" si="33">SUM(AS42:AS57)</f>
        <v>15</v>
      </c>
      <c r="AT41" s="10">
        <f t="shared" si="33"/>
        <v>624284</v>
      </c>
      <c r="AU41" s="10">
        <f t="shared" si="33"/>
        <v>4</v>
      </c>
      <c r="AV41" s="10">
        <f t="shared" si="33"/>
        <v>2246663</v>
      </c>
      <c r="AW41" s="10">
        <f t="shared" si="33"/>
        <v>11</v>
      </c>
      <c r="AX41" s="10">
        <f t="shared" si="33"/>
        <v>717736.75</v>
      </c>
      <c r="AY41" s="10">
        <f t="shared" si="33"/>
        <v>3</v>
      </c>
      <c r="AZ41" s="10">
        <f t="shared" si="33"/>
        <v>0</v>
      </c>
      <c r="BA41" s="10">
        <v>0</v>
      </c>
      <c r="BB41" s="10">
        <v>0</v>
      </c>
      <c r="BC41" s="10">
        <f t="shared" si="24"/>
        <v>0</v>
      </c>
      <c r="BD41" s="10"/>
      <c r="BE41" s="26">
        <f t="shared" ref="BE41:BT41" si="34">SUM(BE42:BE57)</f>
        <v>0</v>
      </c>
      <c r="BF41" s="122">
        <f t="shared" si="34"/>
        <v>0</v>
      </c>
      <c r="BG41" s="122">
        <f t="shared" si="34"/>
        <v>0</v>
      </c>
      <c r="BH41" s="122">
        <f t="shared" si="34"/>
        <v>0</v>
      </c>
      <c r="BI41" s="122">
        <f t="shared" si="34"/>
        <v>0</v>
      </c>
      <c r="BJ41" s="122">
        <f t="shared" si="34"/>
        <v>0</v>
      </c>
      <c r="BK41" s="122">
        <f t="shared" si="34"/>
        <v>0</v>
      </c>
      <c r="BL41" s="122">
        <f t="shared" si="34"/>
        <v>0</v>
      </c>
      <c r="BM41" s="122">
        <f t="shared" si="34"/>
        <v>0</v>
      </c>
      <c r="BN41" s="122">
        <f t="shared" si="34"/>
        <v>0</v>
      </c>
      <c r="BO41" s="122">
        <f t="shared" si="34"/>
        <v>0</v>
      </c>
      <c r="BP41" s="122">
        <f t="shared" si="34"/>
        <v>0</v>
      </c>
      <c r="BQ41" s="122">
        <f t="shared" si="34"/>
        <v>0</v>
      </c>
      <c r="BR41" s="122">
        <f t="shared" si="34"/>
        <v>0</v>
      </c>
      <c r="BS41" s="122">
        <f t="shared" si="34"/>
        <v>0</v>
      </c>
      <c r="BT41" s="55">
        <f t="shared" si="34"/>
        <v>0</v>
      </c>
    </row>
    <row r="42" spans="1:77" ht="43.5" hidden="1" customHeight="1" outlineLevel="1" x14ac:dyDescent="0.25">
      <c r="A42" s="124"/>
      <c r="B42" s="59">
        <v>1</v>
      </c>
      <c r="C42" s="122" t="s">
        <v>1346</v>
      </c>
      <c r="D42" s="122" t="s">
        <v>220</v>
      </c>
      <c r="E42" s="122" t="s">
        <v>9</v>
      </c>
      <c r="F42" s="122">
        <v>265633</v>
      </c>
      <c r="G42" s="122">
        <v>254968</v>
      </c>
      <c r="H42" s="122">
        <v>237928</v>
      </c>
      <c r="I42" s="122">
        <f t="shared" ref="I42:I44" si="35">G42-H42</f>
        <v>17040</v>
      </c>
      <c r="J42" s="122">
        <v>1</v>
      </c>
      <c r="K42" s="122">
        <v>1</v>
      </c>
      <c r="L42" s="122"/>
      <c r="M42" s="122">
        <v>125000</v>
      </c>
      <c r="N42" s="122">
        <f>AC42+AI42</f>
        <v>112926.25</v>
      </c>
      <c r="O42" s="122">
        <v>103974</v>
      </c>
      <c r="P42" s="122">
        <v>1</v>
      </c>
      <c r="Q42" s="26">
        <v>103974</v>
      </c>
      <c r="R42" s="122">
        <v>1</v>
      </c>
      <c r="S42" s="122">
        <f t="shared" si="10"/>
        <v>13633</v>
      </c>
      <c r="T42" s="122"/>
      <c r="U42" s="26">
        <f t="shared" ref="U42:V57" si="36">W42+Y42</f>
        <v>90341</v>
      </c>
      <c r="V42" s="122">
        <f t="shared" si="36"/>
        <v>1</v>
      </c>
      <c r="W42" s="122">
        <v>90341</v>
      </c>
      <c r="X42" s="122">
        <f t="shared" ref="X42:X57" si="37">IF(W42,1,0)</f>
        <v>1</v>
      </c>
      <c r="Y42" s="122"/>
      <c r="Z42" s="122">
        <f t="shared" ref="Z42:Z57" si="38">IF(Y42,1,0)</f>
        <v>0</v>
      </c>
      <c r="AA42" s="122">
        <v>0</v>
      </c>
      <c r="AB42" s="122"/>
      <c r="AC42" s="26">
        <f t="shared" si="14"/>
        <v>90341</v>
      </c>
      <c r="AD42" s="122">
        <f t="shared" si="4"/>
        <v>1</v>
      </c>
      <c r="AE42" s="122">
        <v>90341</v>
      </c>
      <c r="AF42" s="122">
        <f t="shared" ref="AF42:AF57" si="39">IF(AE42,1,0)</f>
        <v>1</v>
      </c>
      <c r="AG42" s="122"/>
      <c r="AH42" s="122">
        <f t="shared" ref="AH42:AH57" si="40">IF(AG42,1,0)</f>
        <v>0</v>
      </c>
      <c r="AI42" s="122">
        <f t="shared" ref="AI42:AI57" si="41">AC42/0.8*0.2</f>
        <v>22585.25</v>
      </c>
      <c r="AJ42" s="122">
        <v>1</v>
      </c>
      <c r="AK42" s="122"/>
      <c r="AL42" s="122">
        <v>0</v>
      </c>
      <c r="AM42" s="122">
        <v>0</v>
      </c>
      <c r="AN42" s="122">
        <f t="shared" si="18"/>
        <v>0</v>
      </c>
      <c r="AO42" s="122"/>
      <c r="AP42" s="122">
        <f>U42-AC42</f>
        <v>0</v>
      </c>
      <c r="AQ42" s="122"/>
      <c r="AR42" s="34">
        <f t="shared" si="20"/>
        <v>0</v>
      </c>
      <c r="AS42" s="10">
        <f t="shared" si="20"/>
        <v>0</v>
      </c>
      <c r="AT42" s="10"/>
      <c r="AU42" s="10">
        <f t="shared" si="21"/>
        <v>0</v>
      </c>
      <c r="AV42" s="10"/>
      <c r="AW42" s="10">
        <f t="shared" si="22"/>
        <v>0</v>
      </c>
      <c r="AX42" s="10"/>
      <c r="AY42" s="10"/>
      <c r="AZ42" s="10"/>
      <c r="BA42" s="10">
        <v>0</v>
      </c>
      <c r="BB42" s="10">
        <v>0</v>
      </c>
      <c r="BC42" s="10">
        <f t="shared" si="24"/>
        <v>0</v>
      </c>
      <c r="BD42" s="10"/>
      <c r="BE42" s="26">
        <f t="shared" si="25"/>
        <v>0</v>
      </c>
      <c r="BF42" s="122">
        <f t="shared" si="25"/>
        <v>0</v>
      </c>
      <c r="BG42" s="122"/>
      <c r="BH42" s="122">
        <f t="shared" si="26"/>
        <v>0</v>
      </c>
      <c r="BI42" s="122"/>
      <c r="BJ42" s="122">
        <f t="shared" si="27"/>
        <v>0</v>
      </c>
      <c r="BK42" s="122"/>
      <c r="BL42" s="122"/>
      <c r="BM42" s="122"/>
      <c r="BN42" s="122" t="s">
        <v>224</v>
      </c>
      <c r="BO42" s="122" t="s">
        <v>225</v>
      </c>
      <c r="BP42" s="122" t="s">
        <v>226</v>
      </c>
      <c r="BQ42" s="122" t="s">
        <v>227</v>
      </c>
      <c r="BR42" s="122" t="s">
        <v>228</v>
      </c>
      <c r="BS42" s="122" t="s">
        <v>229</v>
      </c>
      <c r="BT42" s="55" t="s">
        <v>851</v>
      </c>
    </row>
    <row r="43" spans="1:77" ht="63.75" hidden="1" customHeight="1" outlineLevel="1" x14ac:dyDescent="0.25">
      <c r="A43" s="124"/>
      <c r="B43" s="59">
        <v>2</v>
      </c>
      <c r="C43" s="122" t="s">
        <v>223</v>
      </c>
      <c r="D43" s="122" t="s">
        <v>856</v>
      </c>
      <c r="E43" s="122" t="s">
        <v>9</v>
      </c>
      <c r="F43" s="122">
        <v>744645.83</v>
      </c>
      <c r="G43" s="122">
        <v>735409</v>
      </c>
      <c r="H43" s="67">
        <v>729218</v>
      </c>
      <c r="I43" s="122">
        <f t="shared" si="35"/>
        <v>6191</v>
      </c>
      <c r="J43" s="122">
        <v>1</v>
      </c>
      <c r="K43" s="122">
        <v>1</v>
      </c>
      <c r="L43" s="122">
        <v>1</v>
      </c>
      <c r="M43" s="122">
        <v>300000</v>
      </c>
      <c r="N43" s="122">
        <f t="shared" ref="N43:N57" si="42">AC43+AI43</f>
        <v>429217.5</v>
      </c>
      <c r="O43" s="122">
        <v>348327</v>
      </c>
      <c r="P43" s="122">
        <v>1</v>
      </c>
      <c r="Q43" s="26">
        <v>348327</v>
      </c>
      <c r="R43" s="122">
        <v>1</v>
      </c>
      <c r="S43" s="122">
        <f t="shared" si="10"/>
        <v>4953</v>
      </c>
      <c r="T43" s="122"/>
      <c r="U43" s="26">
        <f t="shared" si="36"/>
        <v>343374</v>
      </c>
      <c r="V43" s="122">
        <f t="shared" si="36"/>
        <v>1</v>
      </c>
      <c r="W43" s="122">
        <v>343374</v>
      </c>
      <c r="X43" s="122">
        <f t="shared" si="37"/>
        <v>1</v>
      </c>
      <c r="Y43" s="122"/>
      <c r="Z43" s="122">
        <f t="shared" si="38"/>
        <v>0</v>
      </c>
      <c r="AA43" s="122">
        <v>0</v>
      </c>
      <c r="AB43" s="122"/>
      <c r="AC43" s="26">
        <f t="shared" si="14"/>
        <v>343374</v>
      </c>
      <c r="AD43" s="122">
        <f t="shared" si="4"/>
        <v>1</v>
      </c>
      <c r="AE43" s="122">
        <f>343374</f>
        <v>343374</v>
      </c>
      <c r="AF43" s="122">
        <f t="shared" si="39"/>
        <v>1</v>
      </c>
      <c r="AG43" s="122"/>
      <c r="AH43" s="122">
        <f t="shared" si="40"/>
        <v>0</v>
      </c>
      <c r="AI43" s="122">
        <f t="shared" si="41"/>
        <v>85843.5</v>
      </c>
      <c r="AJ43" s="122">
        <v>1</v>
      </c>
      <c r="AK43" s="122"/>
      <c r="AL43" s="122">
        <v>0</v>
      </c>
      <c r="AM43" s="122">
        <v>0</v>
      </c>
      <c r="AN43" s="122">
        <f t="shared" si="18"/>
        <v>-90000</v>
      </c>
      <c r="AO43" s="122"/>
      <c r="AP43" s="122">
        <f t="shared" ref="AP43:AP59" si="43">U43-AC43</f>
        <v>0</v>
      </c>
      <c r="AQ43" s="122"/>
      <c r="AR43" s="34">
        <f t="shared" si="20"/>
        <v>90000</v>
      </c>
      <c r="AS43" s="10">
        <f t="shared" si="20"/>
        <v>1</v>
      </c>
      <c r="AT43" s="10">
        <f>90000</f>
        <v>90000</v>
      </c>
      <c r="AU43" s="10">
        <f t="shared" si="21"/>
        <v>1</v>
      </c>
      <c r="AV43" s="10"/>
      <c r="AW43" s="10">
        <f t="shared" si="22"/>
        <v>0</v>
      </c>
      <c r="AX43" s="10">
        <f t="shared" ref="AX43:AX45" si="44">AR43/0.8*0.2</f>
        <v>22500</v>
      </c>
      <c r="AY43" s="10"/>
      <c r="AZ43" s="10"/>
      <c r="BA43" s="10">
        <v>0</v>
      </c>
      <c r="BB43" s="10">
        <v>0</v>
      </c>
      <c r="BC43" s="10">
        <f t="shared" si="24"/>
        <v>0</v>
      </c>
      <c r="BD43" s="10"/>
      <c r="BE43" s="26">
        <f t="shared" si="25"/>
        <v>0</v>
      </c>
      <c r="BF43" s="122">
        <f t="shared" si="25"/>
        <v>0</v>
      </c>
      <c r="BG43" s="122"/>
      <c r="BH43" s="122">
        <f t="shared" si="26"/>
        <v>0</v>
      </c>
      <c r="BI43" s="122"/>
      <c r="BJ43" s="122">
        <f t="shared" si="27"/>
        <v>0</v>
      </c>
      <c r="BK43" s="122"/>
      <c r="BL43" s="122"/>
      <c r="BM43" s="122"/>
      <c r="BN43" s="122" t="s">
        <v>237</v>
      </c>
      <c r="BO43" s="122" t="s">
        <v>236</v>
      </c>
      <c r="BP43" s="122" t="s">
        <v>238</v>
      </c>
      <c r="BQ43" s="122" t="s">
        <v>239</v>
      </c>
      <c r="BR43" s="122" t="s">
        <v>240</v>
      </c>
      <c r="BS43" s="122" t="s">
        <v>241</v>
      </c>
      <c r="BT43" s="55" t="s">
        <v>852</v>
      </c>
    </row>
    <row r="44" spans="1:77" ht="42.75" hidden="1" customHeight="1" outlineLevel="1" x14ac:dyDescent="0.25">
      <c r="A44" s="124"/>
      <c r="B44" s="59">
        <v>3</v>
      </c>
      <c r="C44" s="122" t="s">
        <v>853</v>
      </c>
      <c r="D44" s="122" t="s">
        <v>855</v>
      </c>
      <c r="E44" s="122" t="s">
        <v>9</v>
      </c>
      <c r="F44" s="122">
        <v>673092</v>
      </c>
      <c r="G44" s="122">
        <v>663885</v>
      </c>
      <c r="H44" s="67">
        <v>657856</v>
      </c>
      <c r="I44" s="122">
        <f t="shared" si="35"/>
        <v>6029</v>
      </c>
      <c r="J44" s="122">
        <v>1</v>
      </c>
      <c r="K44" s="122">
        <v>1</v>
      </c>
      <c r="L44" s="122">
        <v>1</v>
      </c>
      <c r="M44" s="122">
        <v>250000</v>
      </c>
      <c r="N44" s="122">
        <f t="shared" si="42"/>
        <v>407856.25</v>
      </c>
      <c r="O44" s="122">
        <v>331108</v>
      </c>
      <c r="P44" s="122">
        <v>1</v>
      </c>
      <c r="Q44" s="26">
        <v>331108</v>
      </c>
      <c r="R44" s="122">
        <v>1</v>
      </c>
      <c r="S44" s="122">
        <f t="shared" si="10"/>
        <v>4823</v>
      </c>
      <c r="T44" s="122"/>
      <c r="U44" s="26">
        <f t="shared" si="36"/>
        <v>326285</v>
      </c>
      <c r="V44" s="122">
        <f t="shared" si="36"/>
        <v>1</v>
      </c>
      <c r="W44" s="122">
        <v>326285</v>
      </c>
      <c r="X44" s="122">
        <f t="shared" si="37"/>
        <v>1</v>
      </c>
      <c r="Y44" s="122"/>
      <c r="Z44" s="122">
        <f t="shared" si="38"/>
        <v>0</v>
      </c>
      <c r="AA44" s="122">
        <v>0</v>
      </c>
      <c r="AB44" s="122"/>
      <c r="AC44" s="26">
        <f t="shared" si="14"/>
        <v>326285</v>
      </c>
      <c r="AD44" s="122">
        <f t="shared" si="4"/>
        <v>1</v>
      </c>
      <c r="AE44" s="122">
        <f>326285</f>
        <v>326285</v>
      </c>
      <c r="AF44" s="122">
        <f t="shared" si="39"/>
        <v>1</v>
      </c>
      <c r="AG44" s="122"/>
      <c r="AH44" s="122">
        <f t="shared" si="40"/>
        <v>0</v>
      </c>
      <c r="AI44" s="122">
        <f t="shared" si="41"/>
        <v>81571.25</v>
      </c>
      <c r="AJ44" s="122">
        <v>1</v>
      </c>
      <c r="AK44" s="122"/>
      <c r="AL44" s="122">
        <v>0</v>
      </c>
      <c r="AM44" s="122">
        <v>0</v>
      </c>
      <c r="AN44" s="122">
        <f t="shared" si="18"/>
        <v>-90000</v>
      </c>
      <c r="AO44" s="122"/>
      <c r="AP44" s="122">
        <f t="shared" si="43"/>
        <v>0</v>
      </c>
      <c r="AQ44" s="122"/>
      <c r="AR44" s="34">
        <f t="shared" si="20"/>
        <v>90000</v>
      </c>
      <c r="AS44" s="10">
        <f t="shared" si="20"/>
        <v>1</v>
      </c>
      <c r="AT44" s="10">
        <f>90000</f>
        <v>90000</v>
      </c>
      <c r="AU44" s="10">
        <f t="shared" si="21"/>
        <v>1</v>
      </c>
      <c r="AV44" s="10"/>
      <c r="AW44" s="10">
        <f t="shared" si="22"/>
        <v>0</v>
      </c>
      <c r="AX44" s="10">
        <f t="shared" si="44"/>
        <v>22500</v>
      </c>
      <c r="AY44" s="10"/>
      <c r="AZ44" s="10"/>
      <c r="BA44" s="10">
        <v>0</v>
      </c>
      <c r="BB44" s="10">
        <v>0</v>
      </c>
      <c r="BC44" s="10">
        <f t="shared" si="24"/>
        <v>0</v>
      </c>
      <c r="BD44" s="10"/>
      <c r="BE44" s="26">
        <f t="shared" si="25"/>
        <v>0</v>
      </c>
      <c r="BF44" s="122">
        <f t="shared" si="25"/>
        <v>0</v>
      </c>
      <c r="BG44" s="122"/>
      <c r="BH44" s="122">
        <f t="shared" si="26"/>
        <v>0</v>
      </c>
      <c r="BI44" s="122"/>
      <c r="BJ44" s="122">
        <f t="shared" si="27"/>
        <v>0</v>
      </c>
      <c r="BK44" s="122"/>
      <c r="BL44" s="122"/>
      <c r="BM44" s="122"/>
      <c r="BN44" s="122" t="s">
        <v>242</v>
      </c>
      <c r="BO44" s="122" t="s">
        <v>243</v>
      </c>
      <c r="BP44" s="122" t="s">
        <v>244</v>
      </c>
      <c r="BQ44" s="122" t="s">
        <v>245</v>
      </c>
      <c r="BR44" s="122" t="s">
        <v>1347</v>
      </c>
      <c r="BS44" s="122" t="s">
        <v>246</v>
      </c>
      <c r="BT44" s="55" t="s">
        <v>854</v>
      </c>
    </row>
    <row r="45" spans="1:77" ht="45.75" hidden="1" customHeight="1" outlineLevel="1" x14ac:dyDescent="0.25">
      <c r="A45" s="124"/>
      <c r="B45" s="59">
        <v>4</v>
      </c>
      <c r="C45" s="122" t="s">
        <v>221</v>
      </c>
      <c r="D45" s="122" t="s">
        <v>222</v>
      </c>
      <c r="E45" s="122">
        <v>2015</v>
      </c>
      <c r="F45" s="122">
        <v>565011</v>
      </c>
      <c r="G45" s="122">
        <v>552204</v>
      </c>
      <c r="H45" s="122"/>
      <c r="I45" s="122"/>
      <c r="J45" s="122"/>
      <c r="K45" s="122">
        <v>1</v>
      </c>
      <c r="L45" s="122"/>
      <c r="M45" s="122">
        <v>0</v>
      </c>
      <c r="N45" s="122">
        <f t="shared" si="42"/>
        <v>0</v>
      </c>
      <c r="O45" s="122">
        <v>441764</v>
      </c>
      <c r="P45" s="122">
        <v>1</v>
      </c>
      <c r="Q45" s="26">
        <v>325937</v>
      </c>
      <c r="R45" s="122">
        <v>1</v>
      </c>
      <c r="S45" s="122">
        <f t="shared" si="10"/>
        <v>325937</v>
      </c>
      <c r="T45" s="122"/>
      <c r="U45" s="26">
        <f t="shared" si="36"/>
        <v>325937</v>
      </c>
      <c r="V45" s="122">
        <f t="shared" si="36"/>
        <v>1</v>
      </c>
      <c r="W45" s="122"/>
      <c r="X45" s="122">
        <f t="shared" si="37"/>
        <v>0</v>
      </c>
      <c r="Y45" s="122">
        <v>325937</v>
      </c>
      <c r="Z45" s="122">
        <f t="shared" si="38"/>
        <v>1</v>
      </c>
      <c r="AA45" s="122">
        <v>-325937</v>
      </c>
      <c r="AB45" s="122"/>
      <c r="AC45" s="26">
        <f t="shared" si="14"/>
        <v>0</v>
      </c>
      <c r="AD45" s="122">
        <f t="shared" si="4"/>
        <v>0</v>
      </c>
      <c r="AE45" s="122"/>
      <c r="AF45" s="122">
        <f t="shared" si="39"/>
        <v>0</v>
      </c>
      <c r="AG45" s="122"/>
      <c r="AH45" s="122">
        <f t="shared" si="40"/>
        <v>0</v>
      </c>
      <c r="AI45" s="122">
        <f t="shared" si="41"/>
        <v>0</v>
      </c>
      <c r="AJ45" s="122"/>
      <c r="AK45" s="122">
        <v>1</v>
      </c>
      <c r="AL45" s="122">
        <v>115827</v>
      </c>
      <c r="AM45" s="122">
        <v>1</v>
      </c>
      <c r="AN45" s="122">
        <f t="shared" si="18"/>
        <v>-225937</v>
      </c>
      <c r="AO45" s="122"/>
      <c r="AP45" s="122">
        <f t="shared" si="43"/>
        <v>325937</v>
      </c>
      <c r="AQ45" s="122"/>
      <c r="AR45" s="34">
        <f t="shared" si="20"/>
        <v>341764</v>
      </c>
      <c r="AS45" s="10">
        <f t="shared" si="20"/>
        <v>1</v>
      </c>
      <c r="AT45" s="10">
        <f>115827+225937</f>
        <v>341764</v>
      </c>
      <c r="AU45" s="10">
        <f t="shared" si="21"/>
        <v>1</v>
      </c>
      <c r="AV45" s="10"/>
      <c r="AW45" s="10">
        <f t="shared" si="22"/>
        <v>0</v>
      </c>
      <c r="AX45" s="10">
        <f t="shared" si="44"/>
        <v>85441</v>
      </c>
      <c r="AY45" s="10">
        <v>1</v>
      </c>
      <c r="AZ45" s="10"/>
      <c r="BA45" s="10">
        <v>0</v>
      </c>
      <c r="BB45" s="10">
        <v>0</v>
      </c>
      <c r="BC45" s="10">
        <f t="shared" si="24"/>
        <v>0</v>
      </c>
      <c r="BD45" s="10"/>
      <c r="BE45" s="26">
        <f t="shared" si="25"/>
        <v>0</v>
      </c>
      <c r="BF45" s="122">
        <f t="shared" si="25"/>
        <v>0</v>
      </c>
      <c r="BG45" s="122"/>
      <c r="BH45" s="122">
        <f t="shared" si="26"/>
        <v>0</v>
      </c>
      <c r="BI45" s="122"/>
      <c r="BJ45" s="122">
        <f t="shared" si="27"/>
        <v>0</v>
      </c>
      <c r="BK45" s="122"/>
      <c r="BL45" s="122"/>
      <c r="BM45" s="122"/>
      <c r="BN45" s="122" t="s">
        <v>230</v>
      </c>
      <c r="BO45" s="122" t="s">
        <v>231</v>
      </c>
      <c r="BP45" s="122" t="s">
        <v>232</v>
      </c>
      <c r="BQ45" s="122" t="s">
        <v>233</v>
      </c>
      <c r="BR45" s="122" t="s">
        <v>234</v>
      </c>
      <c r="BS45" s="122" t="s">
        <v>235</v>
      </c>
      <c r="BT45" s="55" t="s">
        <v>857</v>
      </c>
    </row>
    <row r="46" spans="1:77" ht="45.75" hidden="1" customHeight="1" outlineLevel="1" x14ac:dyDescent="0.25">
      <c r="A46" s="124"/>
      <c r="B46" s="59">
        <v>5</v>
      </c>
      <c r="C46" s="122" t="s">
        <v>1348</v>
      </c>
      <c r="D46" s="122" t="s">
        <v>858</v>
      </c>
      <c r="E46" s="122" t="s">
        <v>324</v>
      </c>
      <c r="F46" s="122">
        <v>236971.48499999999</v>
      </c>
      <c r="G46" s="122">
        <v>228150</v>
      </c>
      <c r="H46" s="122"/>
      <c r="I46" s="122"/>
      <c r="J46" s="122"/>
      <c r="K46" s="122">
        <v>1</v>
      </c>
      <c r="L46" s="122">
        <v>1</v>
      </c>
      <c r="M46" s="122">
        <v>0</v>
      </c>
      <c r="N46" s="122">
        <f t="shared" si="42"/>
        <v>0</v>
      </c>
      <c r="O46" s="122">
        <v>182520</v>
      </c>
      <c r="P46" s="122">
        <v>1</v>
      </c>
      <c r="Q46" s="26">
        <v>182520</v>
      </c>
      <c r="R46" s="122">
        <v>1</v>
      </c>
      <c r="S46" s="122">
        <f t="shared" si="10"/>
        <v>182520</v>
      </c>
      <c r="T46" s="122"/>
      <c r="U46" s="26">
        <f t="shared" si="36"/>
        <v>182520</v>
      </c>
      <c r="V46" s="122">
        <f t="shared" si="36"/>
        <v>1</v>
      </c>
      <c r="W46" s="122"/>
      <c r="X46" s="122">
        <f t="shared" si="37"/>
        <v>0</v>
      </c>
      <c r="Y46" s="122">
        <v>182520</v>
      </c>
      <c r="Z46" s="122">
        <f t="shared" si="38"/>
        <v>1</v>
      </c>
      <c r="AA46" s="122">
        <v>-182520</v>
      </c>
      <c r="AB46" s="122"/>
      <c r="AC46" s="26">
        <f t="shared" si="14"/>
        <v>0</v>
      </c>
      <c r="AD46" s="122">
        <f t="shared" si="4"/>
        <v>0</v>
      </c>
      <c r="AE46" s="122"/>
      <c r="AF46" s="122">
        <f t="shared" si="39"/>
        <v>0</v>
      </c>
      <c r="AG46" s="122"/>
      <c r="AH46" s="122">
        <f t="shared" si="40"/>
        <v>0</v>
      </c>
      <c r="AI46" s="122">
        <f t="shared" si="41"/>
        <v>0</v>
      </c>
      <c r="AJ46" s="122">
        <v>1</v>
      </c>
      <c r="AK46" s="122"/>
      <c r="AL46" s="122">
        <v>0</v>
      </c>
      <c r="AM46" s="122">
        <v>0</v>
      </c>
      <c r="AN46" s="122">
        <f t="shared" si="18"/>
        <v>-102520</v>
      </c>
      <c r="AO46" s="122"/>
      <c r="AP46" s="122">
        <f t="shared" si="43"/>
        <v>182520</v>
      </c>
      <c r="AQ46" s="122"/>
      <c r="AR46" s="34">
        <f t="shared" si="20"/>
        <v>102520</v>
      </c>
      <c r="AS46" s="10">
        <f t="shared" si="20"/>
        <v>1</v>
      </c>
      <c r="AT46" s="10">
        <f>102520</f>
        <v>102520</v>
      </c>
      <c r="AU46" s="10">
        <f t="shared" si="21"/>
        <v>1</v>
      </c>
      <c r="AV46" s="10"/>
      <c r="AW46" s="10">
        <f t="shared" si="22"/>
        <v>0</v>
      </c>
      <c r="AX46" s="10">
        <f>AR46/0.8*0.2</f>
        <v>25630</v>
      </c>
      <c r="AY46" s="10"/>
      <c r="AZ46" s="10"/>
      <c r="BA46" s="10">
        <v>0</v>
      </c>
      <c r="BB46" s="10">
        <v>0</v>
      </c>
      <c r="BC46" s="10">
        <f t="shared" si="24"/>
        <v>0</v>
      </c>
      <c r="BD46" s="10"/>
      <c r="BE46" s="26">
        <f t="shared" si="25"/>
        <v>0</v>
      </c>
      <c r="BF46" s="122">
        <f t="shared" si="25"/>
        <v>0</v>
      </c>
      <c r="BG46" s="122"/>
      <c r="BH46" s="122">
        <f t="shared" si="26"/>
        <v>0</v>
      </c>
      <c r="BI46" s="122"/>
      <c r="BJ46" s="122">
        <f t="shared" si="27"/>
        <v>0</v>
      </c>
      <c r="BK46" s="122"/>
      <c r="BL46" s="122"/>
      <c r="BM46" s="122"/>
      <c r="BN46" s="122" t="s">
        <v>859</v>
      </c>
      <c r="BO46" s="122" t="s">
        <v>863</v>
      </c>
      <c r="BP46" s="122" t="s">
        <v>860</v>
      </c>
      <c r="BQ46" s="122" t="s">
        <v>862</v>
      </c>
      <c r="BR46" s="122" t="s">
        <v>861</v>
      </c>
      <c r="BS46" s="122" t="s">
        <v>865</v>
      </c>
      <c r="BT46" s="55" t="s">
        <v>864</v>
      </c>
    </row>
    <row r="47" spans="1:77" ht="51.75" hidden="1" customHeight="1" outlineLevel="1" x14ac:dyDescent="0.25">
      <c r="A47" s="124"/>
      <c r="B47" s="59">
        <v>6</v>
      </c>
      <c r="C47" s="122" t="s">
        <v>1444</v>
      </c>
      <c r="D47" s="122" t="s">
        <v>874</v>
      </c>
      <c r="E47" s="122" t="s">
        <v>324</v>
      </c>
      <c r="F47" s="122">
        <v>239029.36</v>
      </c>
      <c r="G47" s="122">
        <v>231203</v>
      </c>
      <c r="H47" s="122"/>
      <c r="I47" s="122"/>
      <c r="J47" s="122"/>
      <c r="K47" s="122">
        <v>1</v>
      </c>
      <c r="L47" s="122"/>
      <c r="M47" s="122">
        <v>0</v>
      </c>
      <c r="N47" s="122">
        <f t="shared" si="42"/>
        <v>0</v>
      </c>
      <c r="O47" s="122">
        <v>184962</v>
      </c>
      <c r="P47" s="122">
        <v>1</v>
      </c>
      <c r="Q47" s="26">
        <v>184962</v>
      </c>
      <c r="R47" s="122">
        <v>1</v>
      </c>
      <c r="S47" s="122">
        <f t="shared" si="10"/>
        <v>184962</v>
      </c>
      <c r="T47" s="122"/>
      <c r="U47" s="26">
        <f>Y47</f>
        <v>184962</v>
      </c>
      <c r="V47" s="122">
        <f t="shared" si="36"/>
        <v>1</v>
      </c>
      <c r="W47" s="122"/>
      <c r="X47" s="122">
        <f t="shared" si="37"/>
        <v>0</v>
      </c>
      <c r="Y47" s="122">
        <v>184962</v>
      </c>
      <c r="Z47" s="122">
        <f t="shared" si="38"/>
        <v>1</v>
      </c>
      <c r="AA47" s="122">
        <v>-184962</v>
      </c>
      <c r="AB47" s="122"/>
      <c r="AC47" s="26">
        <f>AG47</f>
        <v>0</v>
      </c>
      <c r="AD47" s="122">
        <f t="shared" si="4"/>
        <v>0</v>
      </c>
      <c r="AE47" s="122"/>
      <c r="AF47" s="122">
        <f t="shared" si="39"/>
        <v>0</v>
      </c>
      <c r="AG47" s="122"/>
      <c r="AH47" s="122">
        <f t="shared" si="40"/>
        <v>0</v>
      </c>
      <c r="AI47" s="122">
        <f t="shared" si="41"/>
        <v>0</v>
      </c>
      <c r="AJ47" s="122">
        <v>1</v>
      </c>
      <c r="AK47" s="122"/>
      <c r="AL47" s="122">
        <v>0</v>
      </c>
      <c r="AM47" s="122">
        <v>0</v>
      </c>
      <c r="AN47" s="122">
        <f t="shared" si="18"/>
        <v>-184962</v>
      </c>
      <c r="AO47" s="122"/>
      <c r="AP47" s="122">
        <f t="shared" si="43"/>
        <v>184962</v>
      </c>
      <c r="AQ47" s="122"/>
      <c r="AR47" s="34">
        <f t="shared" si="20"/>
        <v>184962</v>
      </c>
      <c r="AS47" s="10">
        <f t="shared" si="20"/>
        <v>1</v>
      </c>
      <c r="AT47" s="10"/>
      <c r="AU47" s="10">
        <f t="shared" si="21"/>
        <v>0</v>
      </c>
      <c r="AV47" s="10">
        <f>184962</f>
        <v>184962</v>
      </c>
      <c r="AW47" s="10">
        <f t="shared" si="22"/>
        <v>1</v>
      </c>
      <c r="AX47" s="10">
        <f>AV47/0.8*0.2</f>
        <v>46240.5</v>
      </c>
      <c r="AY47" s="10"/>
      <c r="AZ47" s="10"/>
      <c r="BA47" s="10">
        <v>0</v>
      </c>
      <c r="BB47" s="10">
        <v>0</v>
      </c>
      <c r="BC47" s="10">
        <f t="shared" si="24"/>
        <v>0</v>
      </c>
      <c r="BD47" s="10"/>
      <c r="BE47" s="26">
        <f t="shared" si="25"/>
        <v>0</v>
      </c>
      <c r="BF47" s="122">
        <f t="shared" si="25"/>
        <v>0</v>
      </c>
      <c r="BG47" s="122"/>
      <c r="BH47" s="122">
        <f t="shared" si="26"/>
        <v>0</v>
      </c>
      <c r="BI47" s="122"/>
      <c r="BJ47" s="122">
        <f t="shared" si="27"/>
        <v>0</v>
      </c>
      <c r="BK47" s="122"/>
      <c r="BL47" s="122"/>
      <c r="BM47" s="122"/>
      <c r="BN47" s="122" t="s">
        <v>875</v>
      </c>
      <c r="BO47" s="122" t="s">
        <v>1084</v>
      </c>
      <c r="BP47" s="122" t="s">
        <v>879</v>
      </c>
      <c r="BQ47" s="122" t="s">
        <v>876</v>
      </c>
      <c r="BR47" s="122" t="s">
        <v>1550</v>
      </c>
      <c r="BS47" s="122" t="s">
        <v>877</v>
      </c>
      <c r="BT47" s="55" t="s">
        <v>878</v>
      </c>
    </row>
    <row r="48" spans="1:77" ht="45.75" hidden="1" customHeight="1" outlineLevel="1" x14ac:dyDescent="0.25">
      <c r="A48" s="124"/>
      <c r="B48" s="59">
        <v>7</v>
      </c>
      <c r="C48" s="122" t="s">
        <v>881</v>
      </c>
      <c r="D48" s="122" t="s">
        <v>880</v>
      </c>
      <c r="E48" s="122" t="s">
        <v>10</v>
      </c>
      <c r="F48" s="122">
        <v>318045.17</v>
      </c>
      <c r="G48" s="122">
        <v>310596</v>
      </c>
      <c r="H48" s="122"/>
      <c r="I48" s="122"/>
      <c r="J48" s="122"/>
      <c r="K48" s="122"/>
      <c r="L48" s="122"/>
      <c r="M48" s="122">
        <v>0</v>
      </c>
      <c r="N48" s="122">
        <f t="shared" si="42"/>
        <v>0</v>
      </c>
      <c r="O48" s="122">
        <v>248477</v>
      </c>
      <c r="P48" s="122">
        <v>1</v>
      </c>
      <c r="Q48" s="26">
        <v>248477</v>
      </c>
      <c r="R48" s="122">
        <v>1</v>
      </c>
      <c r="S48" s="122">
        <f t="shared" si="10"/>
        <v>248477</v>
      </c>
      <c r="T48" s="122"/>
      <c r="U48" s="26">
        <f t="shared" si="36"/>
        <v>248477</v>
      </c>
      <c r="V48" s="122">
        <f t="shared" si="36"/>
        <v>1</v>
      </c>
      <c r="W48" s="122"/>
      <c r="X48" s="122">
        <f t="shared" si="37"/>
        <v>0</v>
      </c>
      <c r="Y48" s="122">
        <v>248477</v>
      </c>
      <c r="Z48" s="122">
        <f t="shared" si="38"/>
        <v>1</v>
      </c>
      <c r="AA48" s="122">
        <v>-248477</v>
      </c>
      <c r="AB48" s="122"/>
      <c r="AC48" s="26">
        <f t="shared" si="14"/>
        <v>0</v>
      </c>
      <c r="AD48" s="122">
        <f t="shared" si="4"/>
        <v>0</v>
      </c>
      <c r="AE48" s="122"/>
      <c r="AF48" s="122">
        <f t="shared" si="39"/>
        <v>0</v>
      </c>
      <c r="AG48" s="122"/>
      <c r="AH48" s="122">
        <f t="shared" si="40"/>
        <v>0</v>
      </c>
      <c r="AI48" s="122">
        <f t="shared" si="41"/>
        <v>0</v>
      </c>
      <c r="AJ48" s="122">
        <v>1</v>
      </c>
      <c r="AK48" s="122"/>
      <c r="AL48" s="122">
        <v>0</v>
      </c>
      <c r="AM48" s="122">
        <v>0</v>
      </c>
      <c r="AN48" s="122">
        <f t="shared" si="18"/>
        <v>-248477</v>
      </c>
      <c r="AO48" s="122"/>
      <c r="AP48" s="122">
        <f t="shared" si="43"/>
        <v>248477</v>
      </c>
      <c r="AQ48" s="122"/>
      <c r="AR48" s="34">
        <f t="shared" si="20"/>
        <v>248477</v>
      </c>
      <c r="AS48" s="10">
        <f t="shared" si="20"/>
        <v>1</v>
      </c>
      <c r="AT48" s="10"/>
      <c r="AU48" s="10">
        <f t="shared" si="21"/>
        <v>0</v>
      </c>
      <c r="AV48" s="10">
        <f>248477</f>
        <v>248477</v>
      </c>
      <c r="AW48" s="10">
        <f t="shared" si="22"/>
        <v>1</v>
      </c>
      <c r="AX48" s="10">
        <f t="shared" ref="AX48:AX53" si="45">AV48/0.8*0.2</f>
        <v>62119.25</v>
      </c>
      <c r="AY48" s="10"/>
      <c r="AZ48" s="10"/>
      <c r="BA48" s="10">
        <v>0</v>
      </c>
      <c r="BB48" s="10">
        <v>0</v>
      </c>
      <c r="BC48" s="10">
        <f t="shared" si="24"/>
        <v>0</v>
      </c>
      <c r="BD48" s="10"/>
      <c r="BE48" s="26">
        <f t="shared" si="25"/>
        <v>0</v>
      </c>
      <c r="BF48" s="122">
        <f t="shared" si="25"/>
        <v>0</v>
      </c>
      <c r="BG48" s="122"/>
      <c r="BH48" s="122">
        <f t="shared" si="26"/>
        <v>0</v>
      </c>
      <c r="BI48" s="122"/>
      <c r="BJ48" s="122">
        <f t="shared" si="27"/>
        <v>0</v>
      </c>
      <c r="BK48" s="122"/>
      <c r="BL48" s="122"/>
      <c r="BM48" s="122"/>
      <c r="BN48" s="122" t="s">
        <v>882</v>
      </c>
      <c r="BO48" s="122" t="s">
        <v>1084</v>
      </c>
      <c r="BP48" s="122" t="s">
        <v>883</v>
      </c>
      <c r="BQ48" s="122" t="s">
        <v>884</v>
      </c>
      <c r="BR48" s="122" t="s">
        <v>1550</v>
      </c>
      <c r="BS48" s="122" t="s">
        <v>885</v>
      </c>
      <c r="BT48" s="55" t="s">
        <v>1191</v>
      </c>
    </row>
    <row r="49" spans="1:77" ht="48.75" hidden="1" customHeight="1" outlineLevel="1" x14ac:dyDescent="0.25">
      <c r="A49" s="124"/>
      <c r="B49" s="59">
        <v>8</v>
      </c>
      <c r="C49" s="122" t="s">
        <v>889</v>
      </c>
      <c r="D49" s="122" t="s">
        <v>887</v>
      </c>
      <c r="E49" s="122" t="s">
        <v>324</v>
      </c>
      <c r="F49" s="122">
        <v>255117.46</v>
      </c>
      <c r="G49" s="122">
        <v>249207</v>
      </c>
      <c r="H49" s="122"/>
      <c r="I49" s="122"/>
      <c r="J49" s="122"/>
      <c r="K49" s="122">
        <v>1</v>
      </c>
      <c r="L49" s="122"/>
      <c r="M49" s="122">
        <v>0</v>
      </c>
      <c r="N49" s="122">
        <f t="shared" si="42"/>
        <v>0</v>
      </c>
      <c r="O49" s="122">
        <v>199366</v>
      </c>
      <c r="P49" s="122">
        <v>1</v>
      </c>
      <c r="Q49" s="26">
        <v>199366</v>
      </c>
      <c r="R49" s="122">
        <v>1</v>
      </c>
      <c r="S49" s="122">
        <f t="shared" si="10"/>
        <v>199366</v>
      </c>
      <c r="T49" s="122"/>
      <c r="U49" s="26">
        <f t="shared" si="36"/>
        <v>199366</v>
      </c>
      <c r="V49" s="122">
        <f t="shared" si="36"/>
        <v>1</v>
      </c>
      <c r="W49" s="122"/>
      <c r="X49" s="122">
        <f t="shared" si="37"/>
        <v>0</v>
      </c>
      <c r="Y49" s="122">
        <v>199366</v>
      </c>
      <c r="Z49" s="122">
        <f t="shared" si="38"/>
        <v>1</v>
      </c>
      <c r="AA49" s="122">
        <v>-199366</v>
      </c>
      <c r="AB49" s="122"/>
      <c r="AC49" s="26">
        <f t="shared" si="14"/>
        <v>0</v>
      </c>
      <c r="AD49" s="122">
        <f t="shared" si="4"/>
        <v>0</v>
      </c>
      <c r="AE49" s="122"/>
      <c r="AF49" s="122">
        <f t="shared" si="39"/>
        <v>0</v>
      </c>
      <c r="AG49" s="122"/>
      <c r="AH49" s="122">
        <f t="shared" si="40"/>
        <v>0</v>
      </c>
      <c r="AI49" s="122">
        <f t="shared" si="41"/>
        <v>0</v>
      </c>
      <c r="AJ49" s="122">
        <v>1</v>
      </c>
      <c r="AK49" s="122"/>
      <c r="AL49" s="122">
        <v>0</v>
      </c>
      <c r="AM49" s="122">
        <v>0</v>
      </c>
      <c r="AN49" s="122">
        <f t="shared" si="18"/>
        <v>-199366</v>
      </c>
      <c r="AO49" s="122"/>
      <c r="AP49" s="122">
        <f t="shared" si="43"/>
        <v>199366</v>
      </c>
      <c r="AQ49" s="122"/>
      <c r="AR49" s="34">
        <f t="shared" si="20"/>
        <v>199366</v>
      </c>
      <c r="AS49" s="10">
        <f t="shared" si="20"/>
        <v>1</v>
      </c>
      <c r="AT49" s="10">
        <v>0</v>
      </c>
      <c r="AU49" s="10">
        <f t="shared" si="21"/>
        <v>0</v>
      </c>
      <c r="AV49" s="10">
        <f>199366</f>
        <v>199366</v>
      </c>
      <c r="AW49" s="10">
        <f t="shared" si="22"/>
        <v>1</v>
      </c>
      <c r="AX49" s="10">
        <f t="shared" si="45"/>
        <v>49841.5</v>
      </c>
      <c r="AY49" s="10"/>
      <c r="AZ49" s="10"/>
      <c r="BA49" s="10">
        <v>0</v>
      </c>
      <c r="BB49" s="10">
        <v>0</v>
      </c>
      <c r="BC49" s="10">
        <f t="shared" si="24"/>
        <v>0</v>
      </c>
      <c r="BD49" s="10"/>
      <c r="BE49" s="26">
        <f t="shared" si="25"/>
        <v>0</v>
      </c>
      <c r="BF49" s="122">
        <f t="shared" si="25"/>
        <v>0</v>
      </c>
      <c r="BG49" s="122"/>
      <c r="BH49" s="122">
        <f t="shared" si="26"/>
        <v>0</v>
      </c>
      <c r="BI49" s="122"/>
      <c r="BJ49" s="122">
        <f t="shared" si="27"/>
        <v>0</v>
      </c>
      <c r="BK49" s="122"/>
      <c r="BL49" s="122"/>
      <c r="BM49" s="122"/>
      <c r="BN49" s="122" t="s">
        <v>888</v>
      </c>
      <c r="BO49" s="122" t="s">
        <v>1236</v>
      </c>
      <c r="BP49" s="122" t="s">
        <v>890</v>
      </c>
      <c r="BQ49" s="122" t="s">
        <v>891</v>
      </c>
      <c r="BR49" s="122" t="s">
        <v>1551</v>
      </c>
      <c r="BS49" s="122" t="s">
        <v>892</v>
      </c>
      <c r="BT49" s="55" t="s">
        <v>886</v>
      </c>
    </row>
    <row r="50" spans="1:77" ht="36" hidden="1" customHeight="1" outlineLevel="1" x14ac:dyDescent="0.25">
      <c r="A50" s="124"/>
      <c r="B50" s="59">
        <v>9</v>
      </c>
      <c r="C50" s="122" t="s">
        <v>895</v>
      </c>
      <c r="D50" s="122" t="s">
        <v>893</v>
      </c>
      <c r="E50" s="122" t="s">
        <v>10</v>
      </c>
      <c r="F50" s="122">
        <v>214182.55</v>
      </c>
      <c r="G50" s="122">
        <v>209188</v>
      </c>
      <c r="H50" s="122"/>
      <c r="I50" s="122"/>
      <c r="J50" s="122"/>
      <c r="K50" s="122"/>
      <c r="L50" s="122"/>
      <c r="M50" s="122">
        <v>0</v>
      </c>
      <c r="N50" s="122">
        <f t="shared" si="42"/>
        <v>0</v>
      </c>
      <c r="O50" s="122">
        <v>167351</v>
      </c>
      <c r="P50" s="122">
        <v>1</v>
      </c>
      <c r="Q50" s="26">
        <v>167350</v>
      </c>
      <c r="R50" s="122">
        <v>1</v>
      </c>
      <c r="S50" s="122">
        <f t="shared" si="10"/>
        <v>167350</v>
      </c>
      <c r="T50" s="122"/>
      <c r="U50" s="26">
        <f t="shared" si="36"/>
        <v>167350</v>
      </c>
      <c r="V50" s="122">
        <f t="shared" si="36"/>
        <v>1</v>
      </c>
      <c r="W50" s="122"/>
      <c r="X50" s="122">
        <f t="shared" si="37"/>
        <v>0</v>
      </c>
      <c r="Y50" s="122">
        <v>167350</v>
      </c>
      <c r="Z50" s="122">
        <f t="shared" si="38"/>
        <v>1</v>
      </c>
      <c r="AA50" s="122">
        <v>-167350</v>
      </c>
      <c r="AB50" s="122"/>
      <c r="AC50" s="26">
        <f t="shared" si="14"/>
        <v>0</v>
      </c>
      <c r="AD50" s="122">
        <f t="shared" si="4"/>
        <v>0</v>
      </c>
      <c r="AE50" s="122"/>
      <c r="AF50" s="122">
        <f t="shared" si="39"/>
        <v>0</v>
      </c>
      <c r="AG50" s="122"/>
      <c r="AH50" s="122">
        <f t="shared" si="40"/>
        <v>0</v>
      </c>
      <c r="AI50" s="122">
        <f t="shared" si="41"/>
        <v>0</v>
      </c>
      <c r="AJ50" s="122">
        <v>1</v>
      </c>
      <c r="AK50" s="122"/>
      <c r="AL50" s="122">
        <v>0</v>
      </c>
      <c r="AM50" s="122">
        <v>0</v>
      </c>
      <c r="AN50" s="122">
        <f t="shared" si="18"/>
        <v>-167350</v>
      </c>
      <c r="AO50" s="122"/>
      <c r="AP50" s="122">
        <f t="shared" si="43"/>
        <v>167350</v>
      </c>
      <c r="AQ50" s="122"/>
      <c r="AR50" s="34">
        <f t="shared" si="20"/>
        <v>167350</v>
      </c>
      <c r="AS50" s="10">
        <f t="shared" si="20"/>
        <v>1</v>
      </c>
      <c r="AT50" s="10"/>
      <c r="AU50" s="10">
        <f t="shared" si="21"/>
        <v>0</v>
      </c>
      <c r="AV50" s="10">
        <f>167350</f>
        <v>167350</v>
      </c>
      <c r="AW50" s="10">
        <f t="shared" si="22"/>
        <v>1</v>
      </c>
      <c r="AX50" s="10">
        <f t="shared" si="45"/>
        <v>41837.5</v>
      </c>
      <c r="AY50" s="10"/>
      <c r="AZ50" s="10"/>
      <c r="BA50" s="10">
        <v>0</v>
      </c>
      <c r="BB50" s="10">
        <v>0</v>
      </c>
      <c r="BC50" s="10">
        <f t="shared" si="24"/>
        <v>0</v>
      </c>
      <c r="BD50" s="10"/>
      <c r="BE50" s="26">
        <f t="shared" si="25"/>
        <v>0</v>
      </c>
      <c r="BF50" s="122">
        <f t="shared" si="25"/>
        <v>0</v>
      </c>
      <c r="BG50" s="122"/>
      <c r="BH50" s="122">
        <f t="shared" si="26"/>
        <v>0</v>
      </c>
      <c r="BI50" s="122"/>
      <c r="BJ50" s="122">
        <f t="shared" si="27"/>
        <v>0</v>
      </c>
      <c r="BK50" s="122"/>
      <c r="BL50" s="122"/>
      <c r="BM50" s="122"/>
      <c r="BN50" s="122" t="s">
        <v>894</v>
      </c>
      <c r="BO50" s="122" t="s">
        <v>1084</v>
      </c>
      <c r="BP50" s="122" t="s">
        <v>896</v>
      </c>
      <c r="BQ50" s="122" t="s">
        <v>897</v>
      </c>
      <c r="BR50" s="122" t="s">
        <v>1552</v>
      </c>
      <c r="BS50" s="122" t="s">
        <v>898</v>
      </c>
      <c r="BT50" s="55" t="s">
        <v>899</v>
      </c>
    </row>
    <row r="51" spans="1:77" ht="41.25" hidden="1" customHeight="1" outlineLevel="1" x14ac:dyDescent="0.25">
      <c r="A51" s="124"/>
      <c r="B51" s="59">
        <v>10</v>
      </c>
      <c r="C51" s="14" t="s">
        <v>1445</v>
      </c>
      <c r="D51" s="122" t="s">
        <v>1093</v>
      </c>
      <c r="E51" s="41">
        <v>2015</v>
      </c>
      <c r="F51" s="41">
        <v>300569.09999999998</v>
      </c>
      <c r="G51" s="122">
        <v>292240</v>
      </c>
      <c r="H51" s="122"/>
      <c r="I51" s="122"/>
      <c r="J51" s="122"/>
      <c r="K51" s="122">
        <v>1</v>
      </c>
      <c r="L51" s="122">
        <v>1</v>
      </c>
      <c r="M51" s="122">
        <v>0</v>
      </c>
      <c r="N51" s="122">
        <f t="shared" si="42"/>
        <v>0</v>
      </c>
      <c r="O51" s="122">
        <v>233792</v>
      </c>
      <c r="P51" s="122">
        <v>1</v>
      </c>
      <c r="Q51" s="26">
        <v>233792</v>
      </c>
      <c r="R51" s="122">
        <v>1</v>
      </c>
      <c r="S51" s="122">
        <f t="shared" si="10"/>
        <v>233792</v>
      </c>
      <c r="T51" s="122"/>
      <c r="U51" s="26">
        <f t="shared" si="36"/>
        <v>233792</v>
      </c>
      <c r="V51" s="122">
        <f t="shared" si="36"/>
        <v>1</v>
      </c>
      <c r="W51" s="122"/>
      <c r="X51" s="122">
        <f t="shared" si="37"/>
        <v>0</v>
      </c>
      <c r="Y51" s="122">
        <v>233792</v>
      </c>
      <c r="Z51" s="122">
        <f t="shared" si="38"/>
        <v>1</v>
      </c>
      <c r="AA51" s="122">
        <v>-233792</v>
      </c>
      <c r="AB51" s="122"/>
      <c r="AC51" s="26">
        <f t="shared" si="14"/>
        <v>0</v>
      </c>
      <c r="AD51" s="122">
        <f t="shared" si="4"/>
        <v>0</v>
      </c>
      <c r="AE51" s="122"/>
      <c r="AF51" s="122">
        <f t="shared" si="39"/>
        <v>0</v>
      </c>
      <c r="AG51" s="122"/>
      <c r="AH51" s="122">
        <f t="shared" si="40"/>
        <v>0</v>
      </c>
      <c r="AI51" s="122">
        <f t="shared" si="41"/>
        <v>0</v>
      </c>
      <c r="AJ51" s="122">
        <v>1</v>
      </c>
      <c r="AK51" s="122"/>
      <c r="AL51" s="122">
        <v>0</v>
      </c>
      <c r="AM51" s="122">
        <v>0</v>
      </c>
      <c r="AN51" s="122">
        <f t="shared" si="18"/>
        <v>-233792</v>
      </c>
      <c r="AO51" s="122"/>
      <c r="AP51" s="122">
        <f t="shared" si="43"/>
        <v>233792</v>
      </c>
      <c r="AQ51" s="122"/>
      <c r="AR51" s="34">
        <f t="shared" si="20"/>
        <v>233792</v>
      </c>
      <c r="AS51" s="10">
        <f t="shared" si="20"/>
        <v>1</v>
      </c>
      <c r="AT51" s="10">
        <v>0</v>
      </c>
      <c r="AU51" s="10">
        <f t="shared" si="21"/>
        <v>0</v>
      </c>
      <c r="AV51" s="10">
        <f>233792</f>
        <v>233792</v>
      </c>
      <c r="AW51" s="10">
        <f t="shared" si="22"/>
        <v>1</v>
      </c>
      <c r="AX51" s="10">
        <f t="shared" si="45"/>
        <v>58448</v>
      </c>
      <c r="AY51" s="10"/>
      <c r="AZ51" s="10"/>
      <c r="BA51" s="10">
        <v>0</v>
      </c>
      <c r="BB51" s="10">
        <v>0</v>
      </c>
      <c r="BC51" s="10">
        <f t="shared" si="24"/>
        <v>0</v>
      </c>
      <c r="BD51" s="10"/>
      <c r="BE51" s="26">
        <f t="shared" si="25"/>
        <v>0</v>
      </c>
      <c r="BF51" s="122">
        <f t="shared" si="25"/>
        <v>0</v>
      </c>
      <c r="BG51" s="122"/>
      <c r="BH51" s="122">
        <f t="shared" si="26"/>
        <v>0</v>
      </c>
      <c r="BI51" s="122"/>
      <c r="BJ51" s="122">
        <f t="shared" si="27"/>
        <v>0</v>
      </c>
      <c r="BK51" s="122"/>
      <c r="BL51" s="122"/>
      <c r="BM51" s="122"/>
      <c r="BN51" s="122" t="s">
        <v>1094</v>
      </c>
      <c r="BO51" s="122" t="s">
        <v>1236</v>
      </c>
      <c r="BP51" s="122" t="s">
        <v>1095</v>
      </c>
      <c r="BQ51" s="122" t="s">
        <v>1096</v>
      </c>
      <c r="BR51" s="122" t="s">
        <v>1553</v>
      </c>
      <c r="BS51" s="122" t="s">
        <v>1097</v>
      </c>
      <c r="BT51" s="55" t="s">
        <v>1098</v>
      </c>
    </row>
    <row r="52" spans="1:77" ht="47.25" hidden="1" customHeight="1" outlineLevel="1" x14ac:dyDescent="0.25">
      <c r="A52" s="124"/>
      <c r="B52" s="59">
        <v>11</v>
      </c>
      <c r="C52" s="14" t="s">
        <v>1446</v>
      </c>
      <c r="D52" s="122" t="s">
        <v>1255</v>
      </c>
      <c r="E52" s="41">
        <v>2015</v>
      </c>
      <c r="F52" s="41">
        <v>174257.307</v>
      </c>
      <c r="G52" s="122">
        <v>168374</v>
      </c>
      <c r="H52" s="122"/>
      <c r="I52" s="122"/>
      <c r="J52" s="122"/>
      <c r="K52" s="122">
        <v>1</v>
      </c>
      <c r="L52" s="122">
        <v>1</v>
      </c>
      <c r="M52" s="122">
        <v>0</v>
      </c>
      <c r="N52" s="122">
        <f t="shared" si="42"/>
        <v>0</v>
      </c>
      <c r="O52" s="122">
        <v>134699</v>
      </c>
      <c r="P52" s="122">
        <v>1</v>
      </c>
      <c r="Q52" s="26">
        <v>134699</v>
      </c>
      <c r="R52" s="122">
        <v>1</v>
      </c>
      <c r="S52" s="122">
        <f t="shared" si="10"/>
        <v>134699</v>
      </c>
      <c r="T52" s="122"/>
      <c r="U52" s="26">
        <f t="shared" si="36"/>
        <v>134699</v>
      </c>
      <c r="V52" s="122">
        <f t="shared" si="36"/>
        <v>1</v>
      </c>
      <c r="W52" s="122"/>
      <c r="X52" s="122">
        <f t="shared" si="37"/>
        <v>0</v>
      </c>
      <c r="Y52" s="122">
        <v>134699</v>
      </c>
      <c r="Z52" s="122">
        <f t="shared" si="38"/>
        <v>1</v>
      </c>
      <c r="AA52" s="122">
        <v>-134699</v>
      </c>
      <c r="AB52" s="122"/>
      <c r="AC52" s="26">
        <f t="shared" si="14"/>
        <v>0</v>
      </c>
      <c r="AD52" s="122">
        <f t="shared" si="4"/>
        <v>0</v>
      </c>
      <c r="AE52" s="122"/>
      <c r="AF52" s="122">
        <f t="shared" si="39"/>
        <v>0</v>
      </c>
      <c r="AG52" s="122"/>
      <c r="AH52" s="122">
        <f t="shared" si="40"/>
        <v>0</v>
      </c>
      <c r="AI52" s="122">
        <f t="shared" si="41"/>
        <v>0</v>
      </c>
      <c r="AJ52" s="122">
        <v>1</v>
      </c>
      <c r="AK52" s="122"/>
      <c r="AL52" s="122">
        <v>0</v>
      </c>
      <c r="AM52" s="122">
        <v>0</v>
      </c>
      <c r="AN52" s="122">
        <f t="shared" si="18"/>
        <v>-134699</v>
      </c>
      <c r="AO52" s="122"/>
      <c r="AP52" s="122">
        <f t="shared" si="43"/>
        <v>134699</v>
      </c>
      <c r="AQ52" s="122"/>
      <c r="AR52" s="34">
        <f t="shared" si="20"/>
        <v>134699</v>
      </c>
      <c r="AS52" s="10">
        <f t="shared" si="20"/>
        <v>1</v>
      </c>
      <c r="AT52" s="10">
        <v>0</v>
      </c>
      <c r="AU52" s="10">
        <f t="shared" si="21"/>
        <v>0</v>
      </c>
      <c r="AV52" s="10">
        <f>134699</f>
        <v>134699</v>
      </c>
      <c r="AW52" s="10">
        <f t="shared" si="22"/>
        <v>1</v>
      </c>
      <c r="AX52" s="10">
        <f t="shared" si="45"/>
        <v>33674.75</v>
      </c>
      <c r="AY52" s="10"/>
      <c r="AZ52" s="10"/>
      <c r="BA52" s="10">
        <v>0</v>
      </c>
      <c r="BB52" s="10">
        <v>0</v>
      </c>
      <c r="BC52" s="10">
        <f t="shared" si="24"/>
        <v>0</v>
      </c>
      <c r="BD52" s="10"/>
      <c r="BE52" s="26">
        <f t="shared" si="25"/>
        <v>0</v>
      </c>
      <c r="BF52" s="122">
        <f t="shared" si="25"/>
        <v>0</v>
      </c>
      <c r="BG52" s="122"/>
      <c r="BH52" s="122">
        <f t="shared" si="26"/>
        <v>0</v>
      </c>
      <c r="BI52" s="122"/>
      <c r="BJ52" s="122">
        <f t="shared" si="27"/>
        <v>0</v>
      </c>
      <c r="BK52" s="122"/>
      <c r="BL52" s="122"/>
      <c r="BM52" s="122"/>
      <c r="BN52" s="122" t="s">
        <v>1233</v>
      </c>
      <c r="BO52" s="122" t="s">
        <v>1236</v>
      </c>
      <c r="BP52" s="122" t="s">
        <v>1234</v>
      </c>
      <c r="BQ52" s="122" t="s">
        <v>1554</v>
      </c>
      <c r="BR52" s="122" t="s">
        <v>1555</v>
      </c>
      <c r="BS52" s="122" t="s">
        <v>1235</v>
      </c>
      <c r="BT52" s="55" t="s">
        <v>1237</v>
      </c>
    </row>
    <row r="53" spans="1:77" ht="45" hidden="1" customHeight="1" outlineLevel="1" x14ac:dyDescent="0.25">
      <c r="A53" s="124"/>
      <c r="B53" s="59">
        <v>12</v>
      </c>
      <c r="C53" s="14" t="s">
        <v>1447</v>
      </c>
      <c r="D53" s="122" t="s">
        <v>1238</v>
      </c>
      <c r="E53" s="41">
        <v>2015</v>
      </c>
      <c r="F53" s="41">
        <v>232971.6</v>
      </c>
      <c r="G53" s="122">
        <v>224189</v>
      </c>
      <c r="H53" s="122"/>
      <c r="I53" s="122"/>
      <c r="J53" s="122"/>
      <c r="K53" s="122">
        <v>1</v>
      </c>
      <c r="L53" s="122">
        <v>1</v>
      </c>
      <c r="M53" s="122">
        <v>0</v>
      </c>
      <c r="N53" s="122">
        <f t="shared" si="42"/>
        <v>0</v>
      </c>
      <c r="O53" s="122">
        <v>179351</v>
      </c>
      <c r="P53" s="122">
        <v>1</v>
      </c>
      <c r="Q53" s="26">
        <v>179351</v>
      </c>
      <c r="R53" s="122">
        <v>1</v>
      </c>
      <c r="S53" s="122">
        <f t="shared" si="10"/>
        <v>179351</v>
      </c>
      <c r="T53" s="122"/>
      <c r="U53" s="26">
        <f t="shared" si="36"/>
        <v>179351</v>
      </c>
      <c r="V53" s="122">
        <f t="shared" si="36"/>
        <v>1</v>
      </c>
      <c r="W53" s="122"/>
      <c r="X53" s="122">
        <f t="shared" si="37"/>
        <v>0</v>
      </c>
      <c r="Y53" s="122">
        <v>179351</v>
      </c>
      <c r="Z53" s="122">
        <f t="shared" si="38"/>
        <v>1</v>
      </c>
      <c r="AA53" s="122">
        <v>-179351</v>
      </c>
      <c r="AB53" s="122"/>
      <c r="AC53" s="26">
        <f t="shared" si="14"/>
        <v>0</v>
      </c>
      <c r="AD53" s="122">
        <f t="shared" si="4"/>
        <v>0</v>
      </c>
      <c r="AE53" s="122"/>
      <c r="AF53" s="122">
        <f t="shared" si="39"/>
        <v>0</v>
      </c>
      <c r="AG53" s="122"/>
      <c r="AH53" s="122">
        <f t="shared" si="40"/>
        <v>0</v>
      </c>
      <c r="AI53" s="122">
        <f t="shared" si="41"/>
        <v>0</v>
      </c>
      <c r="AJ53" s="122">
        <v>1</v>
      </c>
      <c r="AK53" s="122"/>
      <c r="AL53" s="122">
        <v>0</v>
      </c>
      <c r="AM53" s="122">
        <v>0</v>
      </c>
      <c r="AN53" s="122">
        <f t="shared" si="18"/>
        <v>-179351</v>
      </c>
      <c r="AO53" s="122"/>
      <c r="AP53" s="122">
        <f t="shared" si="43"/>
        <v>179351</v>
      </c>
      <c r="AQ53" s="122"/>
      <c r="AR53" s="34">
        <f t="shared" si="20"/>
        <v>179351</v>
      </c>
      <c r="AS53" s="10">
        <f t="shared" si="20"/>
        <v>1</v>
      </c>
      <c r="AT53" s="10">
        <v>0</v>
      </c>
      <c r="AU53" s="10">
        <f t="shared" si="21"/>
        <v>0</v>
      </c>
      <c r="AV53" s="10">
        <f>179351</f>
        <v>179351</v>
      </c>
      <c r="AW53" s="10">
        <f t="shared" si="22"/>
        <v>1</v>
      </c>
      <c r="AX53" s="10">
        <f t="shared" si="45"/>
        <v>44837.75</v>
      </c>
      <c r="AY53" s="10"/>
      <c r="AZ53" s="10"/>
      <c r="BA53" s="10">
        <v>0</v>
      </c>
      <c r="BB53" s="10">
        <v>0</v>
      </c>
      <c r="BC53" s="10">
        <f t="shared" si="24"/>
        <v>0</v>
      </c>
      <c r="BD53" s="10"/>
      <c r="BE53" s="26">
        <f t="shared" si="25"/>
        <v>0</v>
      </c>
      <c r="BF53" s="122">
        <f t="shared" si="25"/>
        <v>0</v>
      </c>
      <c r="BG53" s="122"/>
      <c r="BH53" s="122">
        <f t="shared" si="26"/>
        <v>0</v>
      </c>
      <c r="BI53" s="122"/>
      <c r="BJ53" s="122">
        <f t="shared" si="27"/>
        <v>0</v>
      </c>
      <c r="BK53" s="122"/>
      <c r="BL53" s="122"/>
      <c r="BM53" s="122"/>
      <c r="BN53" s="122" t="s">
        <v>1239</v>
      </c>
      <c r="BO53" s="122" t="s">
        <v>1236</v>
      </c>
      <c r="BP53" s="122" t="s">
        <v>1240</v>
      </c>
      <c r="BQ53" s="122" t="s">
        <v>1241</v>
      </c>
      <c r="BR53" s="122" t="s">
        <v>1556</v>
      </c>
      <c r="BS53" s="122" t="s">
        <v>1242</v>
      </c>
      <c r="BT53" s="55" t="s">
        <v>1243</v>
      </c>
    </row>
    <row r="54" spans="1:77" ht="45" hidden="1" customHeight="1" outlineLevel="1" x14ac:dyDescent="0.25">
      <c r="A54" s="124"/>
      <c r="B54" s="59">
        <v>13</v>
      </c>
      <c r="C54" s="14" t="s">
        <v>1448</v>
      </c>
      <c r="D54" s="122" t="s">
        <v>1244</v>
      </c>
      <c r="E54" s="41" t="s">
        <v>10</v>
      </c>
      <c r="F54" s="41">
        <v>229864</v>
      </c>
      <c r="G54" s="122">
        <v>223121</v>
      </c>
      <c r="H54" s="122"/>
      <c r="I54" s="122"/>
      <c r="J54" s="122"/>
      <c r="K54" s="122"/>
      <c r="L54" s="122"/>
      <c r="M54" s="122">
        <v>0</v>
      </c>
      <c r="N54" s="122">
        <f t="shared" si="42"/>
        <v>0</v>
      </c>
      <c r="O54" s="122">
        <v>178497</v>
      </c>
      <c r="P54" s="122">
        <v>1</v>
      </c>
      <c r="Q54" s="26">
        <v>0</v>
      </c>
      <c r="R54" s="122">
        <v>0</v>
      </c>
      <c r="S54" s="122">
        <f t="shared" si="10"/>
        <v>0</v>
      </c>
      <c r="T54" s="122"/>
      <c r="U54" s="26">
        <f t="shared" si="36"/>
        <v>0</v>
      </c>
      <c r="V54" s="122">
        <f t="shared" si="36"/>
        <v>0</v>
      </c>
      <c r="W54" s="122"/>
      <c r="X54" s="122">
        <f t="shared" si="37"/>
        <v>0</v>
      </c>
      <c r="Y54" s="122">
        <v>0</v>
      </c>
      <c r="Z54" s="122">
        <f t="shared" si="38"/>
        <v>0</v>
      </c>
      <c r="AA54" s="122">
        <v>0</v>
      </c>
      <c r="AB54" s="122"/>
      <c r="AC54" s="26">
        <f t="shared" si="14"/>
        <v>0</v>
      </c>
      <c r="AD54" s="122">
        <f t="shared" si="4"/>
        <v>0</v>
      </c>
      <c r="AE54" s="122"/>
      <c r="AF54" s="122">
        <f t="shared" si="39"/>
        <v>0</v>
      </c>
      <c r="AG54" s="122">
        <v>0</v>
      </c>
      <c r="AH54" s="122">
        <f t="shared" si="40"/>
        <v>0</v>
      </c>
      <c r="AI54" s="122">
        <f t="shared" si="41"/>
        <v>0</v>
      </c>
      <c r="AJ54" s="122"/>
      <c r="AK54" s="122"/>
      <c r="AL54" s="122">
        <v>158498</v>
      </c>
      <c r="AM54" s="122">
        <v>1</v>
      </c>
      <c r="AN54" s="122">
        <f t="shared" si="18"/>
        <v>0</v>
      </c>
      <c r="AO54" s="122"/>
      <c r="AP54" s="122">
        <f t="shared" si="43"/>
        <v>0</v>
      </c>
      <c r="AQ54" s="122"/>
      <c r="AR54" s="34">
        <f t="shared" si="20"/>
        <v>158498</v>
      </c>
      <c r="AS54" s="10">
        <f t="shared" si="20"/>
        <v>1</v>
      </c>
      <c r="AT54" s="10"/>
      <c r="AU54" s="10">
        <f t="shared" si="21"/>
        <v>0</v>
      </c>
      <c r="AV54" s="10">
        <v>158498</v>
      </c>
      <c r="AW54" s="10">
        <f t="shared" si="22"/>
        <v>1</v>
      </c>
      <c r="AX54" s="10">
        <f>AV54/0.8*0.2</f>
        <v>39624.5</v>
      </c>
      <c r="AY54" s="10">
        <v>1</v>
      </c>
      <c r="AZ54" s="10"/>
      <c r="BA54" s="10">
        <v>0</v>
      </c>
      <c r="BB54" s="10">
        <v>0</v>
      </c>
      <c r="BC54" s="10">
        <f t="shared" si="24"/>
        <v>0</v>
      </c>
      <c r="BD54" s="10"/>
      <c r="BE54" s="26">
        <f t="shared" si="25"/>
        <v>0</v>
      </c>
      <c r="BF54" s="122">
        <f t="shared" si="25"/>
        <v>0</v>
      </c>
      <c r="BG54" s="122"/>
      <c r="BH54" s="122">
        <f t="shared" si="26"/>
        <v>0</v>
      </c>
      <c r="BI54" s="122"/>
      <c r="BJ54" s="122">
        <f t="shared" si="27"/>
        <v>0</v>
      </c>
      <c r="BK54" s="122">
        <f>BG54/0.8*0.2</f>
        <v>0</v>
      </c>
      <c r="BL54" s="122"/>
      <c r="BM54" s="122"/>
      <c r="BN54" s="122" t="s">
        <v>1245</v>
      </c>
      <c r="BO54" s="122" t="s">
        <v>1236</v>
      </c>
      <c r="BP54" s="122" t="s">
        <v>1246</v>
      </c>
      <c r="BQ54" s="122" t="s">
        <v>1247</v>
      </c>
      <c r="BR54" s="122" t="s">
        <v>1557</v>
      </c>
      <c r="BS54" s="122" t="s">
        <v>1248</v>
      </c>
      <c r="BT54" s="55" t="s">
        <v>1249</v>
      </c>
    </row>
    <row r="55" spans="1:77" ht="47.25" hidden="1" customHeight="1" outlineLevel="1" x14ac:dyDescent="0.25">
      <c r="A55" s="124"/>
      <c r="B55" s="59">
        <v>14</v>
      </c>
      <c r="C55" s="14" t="s">
        <v>1358</v>
      </c>
      <c r="D55" s="122" t="s">
        <v>1250</v>
      </c>
      <c r="E55" s="41" t="s">
        <v>10</v>
      </c>
      <c r="F55" s="41">
        <v>366266</v>
      </c>
      <c r="G55" s="122">
        <v>357993</v>
      </c>
      <c r="H55" s="122"/>
      <c r="I55" s="122"/>
      <c r="J55" s="122"/>
      <c r="K55" s="122"/>
      <c r="L55" s="122"/>
      <c r="M55" s="122">
        <v>0</v>
      </c>
      <c r="N55" s="122">
        <f t="shared" si="42"/>
        <v>0</v>
      </c>
      <c r="O55" s="122">
        <v>286394</v>
      </c>
      <c r="P55" s="122">
        <v>1</v>
      </c>
      <c r="Q55" s="26">
        <v>0</v>
      </c>
      <c r="R55" s="122">
        <v>0</v>
      </c>
      <c r="S55" s="122">
        <f t="shared" si="10"/>
        <v>0</v>
      </c>
      <c r="T55" s="122"/>
      <c r="U55" s="26">
        <f t="shared" si="36"/>
        <v>0</v>
      </c>
      <c r="V55" s="122">
        <f t="shared" si="36"/>
        <v>0</v>
      </c>
      <c r="W55" s="122"/>
      <c r="X55" s="122">
        <f t="shared" si="37"/>
        <v>0</v>
      </c>
      <c r="Y55" s="122"/>
      <c r="Z55" s="122">
        <f t="shared" si="38"/>
        <v>0</v>
      </c>
      <c r="AA55" s="122">
        <v>0</v>
      </c>
      <c r="AB55" s="122"/>
      <c r="AC55" s="26">
        <f t="shared" si="14"/>
        <v>0</v>
      </c>
      <c r="AD55" s="122">
        <f t="shared" si="4"/>
        <v>0</v>
      </c>
      <c r="AE55" s="122"/>
      <c r="AF55" s="122">
        <f t="shared" si="39"/>
        <v>0</v>
      </c>
      <c r="AG55" s="122"/>
      <c r="AH55" s="122">
        <f t="shared" si="40"/>
        <v>0</v>
      </c>
      <c r="AI55" s="122">
        <f t="shared" si="41"/>
        <v>0</v>
      </c>
      <c r="AJ55" s="122"/>
      <c r="AK55" s="122"/>
      <c r="AL55" s="122">
        <v>286394</v>
      </c>
      <c r="AM55" s="122">
        <v>1</v>
      </c>
      <c r="AN55" s="122">
        <f t="shared" si="18"/>
        <v>0</v>
      </c>
      <c r="AO55" s="122"/>
      <c r="AP55" s="122">
        <f t="shared" si="43"/>
        <v>0</v>
      </c>
      <c r="AQ55" s="122"/>
      <c r="AR55" s="34">
        <f t="shared" si="20"/>
        <v>286394</v>
      </c>
      <c r="AS55" s="10">
        <f t="shared" si="20"/>
        <v>1</v>
      </c>
      <c r="AT55" s="10"/>
      <c r="AU55" s="10">
        <f t="shared" si="21"/>
        <v>0</v>
      </c>
      <c r="AV55" s="10">
        <v>286394</v>
      </c>
      <c r="AW55" s="10">
        <f t="shared" si="22"/>
        <v>1</v>
      </c>
      <c r="AX55" s="10">
        <f>AV55/0.8*0.2</f>
        <v>71598.5</v>
      </c>
      <c r="AY55" s="10">
        <v>1</v>
      </c>
      <c r="AZ55" s="10"/>
      <c r="BA55" s="10">
        <v>0</v>
      </c>
      <c r="BB55" s="10">
        <v>0</v>
      </c>
      <c r="BC55" s="10">
        <f t="shared" si="24"/>
        <v>0</v>
      </c>
      <c r="BD55" s="10"/>
      <c r="BE55" s="26">
        <f t="shared" si="25"/>
        <v>0</v>
      </c>
      <c r="BF55" s="122">
        <f t="shared" si="25"/>
        <v>0</v>
      </c>
      <c r="BG55" s="122"/>
      <c r="BH55" s="122">
        <f t="shared" si="26"/>
        <v>0</v>
      </c>
      <c r="BI55" s="122"/>
      <c r="BJ55" s="122">
        <f t="shared" si="27"/>
        <v>0</v>
      </c>
      <c r="BK55" s="122"/>
      <c r="BL55" s="122"/>
      <c r="BM55" s="122"/>
      <c r="BN55" s="122" t="s">
        <v>1251</v>
      </c>
      <c r="BO55" s="122" t="s">
        <v>1084</v>
      </c>
      <c r="BP55" s="122" t="s">
        <v>1252</v>
      </c>
      <c r="BQ55" s="122" t="s">
        <v>1253</v>
      </c>
      <c r="BR55" s="122" t="s">
        <v>1558</v>
      </c>
      <c r="BS55" s="122" t="s">
        <v>1254</v>
      </c>
      <c r="BT55" s="55" t="s">
        <v>1359</v>
      </c>
    </row>
    <row r="56" spans="1:77" ht="47.25" hidden="1" customHeight="1" outlineLevel="1" x14ac:dyDescent="0.25">
      <c r="A56" s="124"/>
      <c r="B56" s="59">
        <v>15</v>
      </c>
      <c r="C56" s="14" t="s">
        <v>1449</v>
      </c>
      <c r="D56" s="122" t="s">
        <v>1086</v>
      </c>
      <c r="E56" s="41">
        <v>2015</v>
      </c>
      <c r="F56" s="41">
        <v>315188.2</v>
      </c>
      <c r="G56" s="122">
        <v>307585</v>
      </c>
      <c r="H56" s="122"/>
      <c r="I56" s="122"/>
      <c r="J56" s="122"/>
      <c r="K56" s="122">
        <v>1</v>
      </c>
      <c r="L56" s="122">
        <v>1</v>
      </c>
      <c r="M56" s="122">
        <v>0</v>
      </c>
      <c r="N56" s="122">
        <f t="shared" si="42"/>
        <v>0</v>
      </c>
      <c r="O56" s="122">
        <v>246068</v>
      </c>
      <c r="P56" s="122">
        <v>1</v>
      </c>
      <c r="Q56" s="26">
        <v>246068</v>
      </c>
      <c r="R56" s="122">
        <v>1</v>
      </c>
      <c r="S56" s="122">
        <f t="shared" si="10"/>
        <v>246068</v>
      </c>
      <c r="T56" s="122"/>
      <c r="U56" s="26">
        <f t="shared" si="36"/>
        <v>246068</v>
      </c>
      <c r="V56" s="122">
        <f t="shared" si="36"/>
        <v>1</v>
      </c>
      <c r="W56" s="122"/>
      <c r="X56" s="122">
        <f t="shared" si="37"/>
        <v>0</v>
      </c>
      <c r="Y56" s="122">
        <v>246068</v>
      </c>
      <c r="Z56" s="122">
        <f t="shared" si="38"/>
        <v>1</v>
      </c>
      <c r="AA56" s="122">
        <v>-246068</v>
      </c>
      <c r="AB56" s="122"/>
      <c r="AC56" s="26">
        <f t="shared" si="14"/>
        <v>0</v>
      </c>
      <c r="AD56" s="122">
        <f t="shared" si="4"/>
        <v>0</v>
      </c>
      <c r="AE56" s="122"/>
      <c r="AF56" s="122">
        <f t="shared" si="39"/>
        <v>0</v>
      </c>
      <c r="AG56" s="122"/>
      <c r="AH56" s="122">
        <f t="shared" si="40"/>
        <v>0</v>
      </c>
      <c r="AI56" s="122">
        <f t="shared" si="41"/>
        <v>0</v>
      </c>
      <c r="AJ56" s="122">
        <v>1</v>
      </c>
      <c r="AK56" s="122"/>
      <c r="AL56" s="122">
        <v>0</v>
      </c>
      <c r="AM56" s="122">
        <v>0</v>
      </c>
      <c r="AN56" s="122">
        <f t="shared" si="18"/>
        <v>-246068</v>
      </c>
      <c r="AO56" s="122"/>
      <c r="AP56" s="122">
        <f t="shared" si="43"/>
        <v>246068</v>
      </c>
      <c r="AQ56" s="122"/>
      <c r="AR56" s="34">
        <f t="shared" si="20"/>
        <v>246068</v>
      </c>
      <c r="AS56" s="10">
        <f t="shared" si="20"/>
        <v>1</v>
      </c>
      <c r="AT56" s="10">
        <v>0</v>
      </c>
      <c r="AU56" s="10">
        <f t="shared" si="21"/>
        <v>0</v>
      </c>
      <c r="AV56" s="10">
        <f>246068</f>
        <v>246068</v>
      </c>
      <c r="AW56" s="10">
        <f t="shared" si="22"/>
        <v>1</v>
      </c>
      <c r="AX56" s="10">
        <f t="shared" ref="AX56:AX57" si="46">AV56/0.8*0.2</f>
        <v>61517</v>
      </c>
      <c r="AY56" s="10"/>
      <c r="AZ56" s="10"/>
      <c r="BA56" s="10">
        <v>0</v>
      </c>
      <c r="BB56" s="10">
        <v>0</v>
      </c>
      <c r="BC56" s="10">
        <f t="shared" si="24"/>
        <v>0</v>
      </c>
      <c r="BD56" s="10"/>
      <c r="BE56" s="26">
        <f t="shared" si="25"/>
        <v>0</v>
      </c>
      <c r="BF56" s="122">
        <f t="shared" si="25"/>
        <v>0</v>
      </c>
      <c r="BG56" s="122"/>
      <c r="BH56" s="122">
        <f t="shared" si="26"/>
        <v>0</v>
      </c>
      <c r="BI56" s="122"/>
      <c r="BJ56" s="122">
        <f t="shared" si="27"/>
        <v>0</v>
      </c>
      <c r="BK56" s="122"/>
      <c r="BL56" s="122"/>
      <c r="BM56" s="122"/>
      <c r="BN56" s="122" t="s">
        <v>1080</v>
      </c>
      <c r="BO56" s="122" t="s">
        <v>1084</v>
      </c>
      <c r="BP56" s="122" t="s">
        <v>1081</v>
      </c>
      <c r="BQ56" s="122" t="s">
        <v>1082</v>
      </c>
      <c r="BR56" s="122" t="s">
        <v>1559</v>
      </c>
      <c r="BS56" s="122" t="s">
        <v>1083</v>
      </c>
      <c r="BT56" s="55" t="s">
        <v>1085</v>
      </c>
    </row>
    <row r="57" spans="1:77" ht="45.75" hidden="1" customHeight="1" outlineLevel="1" x14ac:dyDescent="0.25">
      <c r="A57" s="124"/>
      <c r="B57" s="59">
        <v>16</v>
      </c>
      <c r="C57" s="14" t="s">
        <v>1450</v>
      </c>
      <c r="D57" s="122" t="s">
        <v>1087</v>
      </c>
      <c r="E57" s="41">
        <v>2015</v>
      </c>
      <c r="F57" s="41">
        <v>266249.7</v>
      </c>
      <c r="G57" s="122">
        <v>259632</v>
      </c>
      <c r="H57" s="122"/>
      <c r="I57" s="122"/>
      <c r="J57" s="122"/>
      <c r="K57" s="122">
        <v>1</v>
      </c>
      <c r="L57" s="122">
        <v>1</v>
      </c>
      <c r="M57" s="122">
        <v>0</v>
      </c>
      <c r="N57" s="122">
        <f t="shared" si="42"/>
        <v>0</v>
      </c>
      <c r="O57" s="122">
        <v>207706</v>
      </c>
      <c r="P57" s="122">
        <v>1</v>
      </c>
      <c r="Q57" s="26">
        <v>207706</v>
      </c>
      <c r="R57" s="122">
        <v>1</v>
      </c>
      <c r="S57" s="122">
        <f t="shared" si="10"/>
        <v>207706</v>
      </c>
      <c r="T57" s="122"/>
      <c r="U57" s="26">
        <f>W57+Y57</f>
        <v>207706</v>
      </c>
      <c r="V57" s="122">
        <f t="shared" si="36"/>
        <v>1</v>
      </c>
      <c r="W57" s="122"/>
      <c r="X57" s="122">
        <f t="shared" si="37"/>
        <v>0</v>
      </c>
      <c r="Y57" s="122">
        <v>207706</v>
      </c>
      <c r="Z57" s="122">
        <f t="shared" si="38"/>
        <v>1</v>
      </c>
      <c r="AA57" s="122">
        <v>-207706</v>
      </c>
      <c r="AB57" s="122"/>
      <c r="AC57" s="26">
        <f t="shared" si="14"/>
        <v>0</v>
      </c>
      <c r="AD57" s="122">
        <f t="shared" si="4"/>
        <v>0</v>
      </c>
      <c r="AE57" s="122"/>
      <c r="AF57" s="122">
        <f t="shared" si="39"/>
        <v>0</v>
      </c>
      <c r="AG57" s="122"/>
      <c r="AH57" s="122">
        <f t="shared" si="40"/>
        <v>0</v>
      </c>
      <c r="AI57" s="122">
        <f t="shared" si="41"/>
        <v>0</v>
      </c>
      <c r="AJ57" s="122">
        <v>1</v>
      </c>
      <c r="AK57" s="122"/>
      <c r="AL57" s="122">
        <v>0</v>
      </c>
      <c r="AM57" s="122">
        <v>0</v>
      </c>
      <c r="AN57" s="122">
        <f t="shared" si="18"/>
        <v>-207706</v>
      </c>
      <c r="AO57" s="122"/>
      <c r="AP57" s="122">
        <f t="shared" si="43"/>
        <v>207706</v>
      </c>
      <c r="AQ57" s="122"/>
      <c r="AR57" s="34">
        <f t="shared" si="20"/>
        <v>207706</v>
      </c>
      <c r="AS57" s="10">
        <f t="shared" si="20"/>
        <v>1</v>
      </c>
      <c r="AT57" s="10">
        <v>0</v>
      </c>
      <c r="AU57" s="10">
        <f t="shared" si="21"/>
        <v>0</v>
      </c>
      <c r="AV57" s="10">
        <f>207706</f>
        <v>207706</v>
      </c>
      <c r="AW57" s="10">
        <f t="shared" si="22"/>
        <v>1</v>
      </c>
      <c r="AX57" s="10">
        <f t="shared" si="46"/>
        <v>51926.5</v>
      </c>
      <c r="AY57" s="10"/>
      <c r="AZ57" s="10"/>
      <c r="BA57" s="10">
        <v>0</v>
      </c>
      <c r="BB57" s="10">
        <v>0</v>
      </c>
      <c r="BC57" s="10">
        <f t="shared" si="24"/>
        <v>0</v>
      </c>
      <c r="BD57" s="10"/>
      <c r="BE57" s="26">
        <f t="shared" si="25"/>
        <v>0</v>
      </c>
      <c r="BF57" s="122">
        <f t="shared" si="25"/>
        <v>0</v>
      </c>
      <c r="BG57" s="122"/>
      <c r="BH57" s="122">
        <f t="shared" si="26"/>
        <v>0</v>
      </c>
      <c r="BI57" s="122"/>
      <c r="BJ57" s="122">
        <f t="shared" si="27"/>
        <v>0</v>
      </c>
      <c r="BK57" s="122"/>
      <c r="BL57" s="122"/>
      <c r="BM57" s="122"/>
      <c r="BN57" s="122" t="s">
        <v>1088</v>
      </c>
      <c r="BO57" s="122" t="s">
        <v>1084</v>
      </c>
      <c r="BP57" s="122" t="s">
        <v>1089</v>
      </c>
      <c r="BQ57" s="122" t="s">
        <v>1090</v>
      </c>
      <c r="BR57" s="122" t="s">
        <v>1559</v>
      </c>
      <c r="BS57" s="122" t="s">
        <v>1091</v>
      </c>
      <c r="BT57" s="55" t="s">
        <v>1092</v>
      </c>
    </row>
    <row r="58" spans="1:77" ht="11.25" hidden="1" outlineLevel="1" x14ac:dyDescent="0.25">
      <c r="A58" s="124"/>
      <c r="B58" s="125">
        <v>1</v>
      </c>
      <c r="C58" s="11" t="s">
        <v>8</v>
      </c>
      <c r="D58" s="122"/>
      <c r="E58" s="122"/>
      <c r="F58" s="122">
        <f>F59</f>
        <v>315872.3</v>
      </c>
      <c r="G58" s="122">
        <f t="shared" ref="G58:O58" si="47">G59</f>
        <v>302785</v>
      </c>
      <c r="H58" s="122">
        <f t="shared" si="47"/>
        <v>0</v>
      </c>
      <c r="I58" s="122">
        <f t="shared" si="47"/>
        <v>0</v>
      </c>
      <c r="J58" s="122">
        <f t="shared" si="47"/>
        <v>0</v>
      </c>
      <c r="K58" s="122">
        <f t="shared" si="47"/>
        <v>0</v>
      </c>
      <c r="L58" s="122">
        <f t="shared" si="47"/>
        <v>0</v>
      </c>
      <c r="M58" s="122">
        <f t="shared" si="47"/>
        <v>0</v>
      </c>
      <c r="N58" s="122">
        <f t="shared" si="47"/>
        <v>0</v>
      </c>
      <c r="O58" s="122">
        <f t="shared" si="47"/>
        <v>242228</v>
      </c>
      <c r="P58" s="122">
        <v>1</v>
      </c>
      <c r="Q58" s="26">
        <v>242228</v>
      </c>
      <c r="R58" s="122">
        <v>1</v>
      </c>
      <c r="S58" s="122">
        <f t="shared" si="10"/>
        <v>242228</v>
      </c>
      <c r="T58" s="122"/>
      <c r="U58" s="26">
        <f>U59</f>
        <v>242228</v>
      </c>
      <c r="V58" s="122">
        <f t="shared" ref="V58:AB58" si="48">V59</f>
        <v>1</v>
      </c>
      <c r="W58" s="122">
        <f t="shared" si="48"/>
        <v>0</v>
      </c>
      <c r="X58" s="122">
        <f t="shared" si="48"/>
        <v>0</v>
      </c>
      <c r="Y58" s="122">
        <f t="shared" si="48"/>
        <v>242228</v>
      </c>
      <c r="Z58" s="122">
        <f t="shared" si="48"/>
        <v>1</v>
      </c>
      <c r="AA58" s="122">
        <f t="shared" si="48"/>
        <v>-242228</v>
      </c>
      <c r="AB58" s="122">
        <f t="shared" si="48"/>
        <v>0</v>
      </c>
      <c r="AC58" s="26">
        <f>AE58+AG58</f>
        <v>0</v>
      </c>
      <c r="AD58" s="122">
        <f t="shared" si="4"/>
        <v>0</v>
      </c>
      <c r="AE58" s="122">
        <f t="shared" ref="AE58:BM58" si="49">AE59</f>
        <v>0</v>
      </c>
      <c r="AF58" s="122">
        <f t="shared" si="49"/>
        <v>0</v>
      </c>
      <c r="AG58" s="122">
        <f t="shared" si="49"/>
        <v>0</v>
      </c>
      <c r="AH58" s="122">
        <f t="shared" si="49"/>
        <v>0</v>
      </c>
      <c r="AI58" s="122">
        <f t="shared" si="49"/>
        <v>0</v>
      </c>
      <c r="AJ58" s="122">
        <f t="shared" si="49"/>
        <v>1</v>
      </c>
      <c r="AK58" s="122">
        <f t="shared" si="49"/>
        <v>0</v>
      </c>
      <c r="AL58" s="122">
        <f t="shared" si="49"/>
        <v>0</v>
      </c>
      <c r="AM58" s="122">
        <f t="shared" si="49"/>
        <v>0</v>
      </c>
      <c r="AN58" s="122">
        <f t="shared" si="49"/>
        <v>-242228</v>
      </c>
      <c r="AO58" s="122">
        <f t="shared" si="49"/>
        <v>0</v>
      </c>
      <c r="AP58" s="122">
        <f t="shared" si="49"/>
        <v>242228</v>
      </c>
      <c r="AQ58" s="122"/>
      <c r="AR58" s="34">
        <f t="shared" si="20"/>
        <v>242228</v>
      </c>
      <c r="AS58" s="10">
        <f t="shared" ref="AS58:AX58" si="50">AS59</f>
        <v>1</v>
      </c>
      <c r="AT58" s="10">
        <f t="shared" si="50"/>
        <v>0</v>
      </c>
      <c r="AU58" s="10">
        <f t="shared" si="50"/>
        <v>0</v>
      </c>
      <c r="AV58" s="10">
        <f t="shared" si="50"/>
        <v>242228</v>
      </c>
      <c r="AW58" s="10">
        <f t="shared" si="50"/>
        <v>1</v>
      </c>
      <c r="AX58" s="10">
        <f t="shared" si="50"/>
        <v>60557</v>
      </c>
      <c r="AY58" s="10">
        <f t="shared" ref="AY58:AZ58" si="51">AU58/0.8*0.2</f>
        <v>0</v>
      </c>
      <c r="AZ58" s="10">
        <f t="shared" si="51"/>
        <v>60557</v>
      </c>
      <c r="BA58" s="10">
        <v>0</v>
      </c>
      <c r="BB58" s="10">
        <v>0</v>
      </c>
      <c r="BC58" s="10">
        <f t="shared" si="24"/>
        <v>0</v>
      </c>
      <c r="BD58" s="10"/>
      <c r="BE58" s="26">
        <f t="shared" si="49"/>
        <v>0</v>
      </c>
      <c r="BF58" s="122">
        <f t="shared" si="49"/>
        <v>0</v>
      </c>
      <c r="BG58" s="122">
        <f t="shared" si="49"/>
        <v>0</v>
      </c>
      <c r="BH58" s="122">
        <f t="shared" si="49"/>
        <v>0</v>
      </c>
      <c r="BI58" s="122">
        <f t="shared" si="49"/>
        <v>0</v>
      </c>
      <c r="BJ58" s="122">
        <f t="shared" si="49"/>
        <v>0</v>
      </c>
      <c r="BK58" s="122">
        <f t="shared" si="49"/>
        <v>0</v>
      </c>
      <c r="BL58" s="122">
        <f t="shared" si="49"/>
        <v>0</v>
      </c>
      <c r="BM58" s="122">
        <f t="shared" si="49"/>
        <v>0</v>
      </c>
      <c r="BN58" s="122"/>
      <c r="BO58" s="122"/>
      <c r="BP58" s="122"/>
      <c r="BQ58" s="122"/>
      <c r="BR58" s="122"/>
      <c r="BS58" s="122"/>
      <c r="BT58" s="55"/>
    </row>
    <row r="59" spans="1:77" ht="35.25" hidden="1" customHeight="1" outlineLevel="1" x14ac:dyDescent="0.25">
      <c r="A59" s="124"/>
      <c r="B59" s="59">
        <v>1</v>
      </c>
      <c r="C59" s="122" t="s">
        <v>866</v>
      </c>
      <c r="D59" s="122" t="s">
        <v>867</v>
      </c>
      <c r="E59" s="122" t="s">
        <v>324</v>
      </c>
      <c r="F59" s="122">
        <v>315872.3</v>
      </c>
      <c r="G59" s="122">
        <v>302785</v>
      </c>
      <c r="H59" s="122"/>
      <c r="I59" s="122"/>
      <c r="J59" s="122"/>
      <c r="K59" s="122"/>
      <c r="L59" s="122"/>
      <c r="M59" s="122">
        <v>0</v>
      </c>
      <c r="N59" s="122">
        <f>AC59+AI59</f>
        <v>0</v>
      </c>
      <c r="O59" s="122">
        <v>242228</v>
      </c>
      <c r="P59" s="122">
        <v>1</v>
      </c>
      <c r="Q59" s="26">
        <v>242228</v>
      </c>
      <c r="R59" s="122">
        <v>1</v>
      </c>
      <c r="S59" s="122">
        <f t="shared" si="10"/>
        <v>242228</v>
      </c>
      <c r="T59" s="122"/>
      <c r="U59" s="26">
        <f t="shared" ref="U59:V59" si="52">W59+Y59</f>
        <v>242228</v>
      </c>
      <c r="V59" s="122">
        <f t="shared" si="52"/>
        <v>1</v>
      </c>
      <c r="W59" s="122"/>
      <c r="X59" s="122">
        <f t="shared" ref="X59" si="53">IF(W59,1,0)</f>
        <v>0</v>
      </c>
      <c r="Y59" s="122">
        <v>242228</v>
      </c>
      <c r="Z59" s="122">
        <f t="shared" ref="Z59" si="54">IF(Y59,1,0)</f>
        <v>1</v>
      </c>
      <c r="AA59" s="122">
        <v>-242228</v>
      </c>
      <c r="AB59" s="122"/>
      <c r="AC59" s="26">
        <f t="shared" si="14"/>
        <v>0</v>
      </c>
      <c r="AD59" s="122">
        <f t="shared" si="4"/>
        <v>0</v>
      </c>
      <c r="AE59" s="122"/>
      <c r="AF59" s="122">
        <f t="shared" ref="AF59" si="55">IF(AE59,1,0)</f>
        <v>0</v>
      </c>
      <c r="AG59" s="122"/>
      <c r="AH59" s="122">
        <f t="shared" ref="AH59" si="56">IF(AG59,1,0)</f>
        <v>0</v>
      </c>
      <c r="AI59" s="122">
        <f>AC59/0.8*0.2</f>
        <v>0</v>
      </c>
      <c r="AJ59" s="122">
        <v>1</v>
      </c>
      <c r="AK59" s="122"/>
      <c r="AL59" s="122">
        <v>0</v>
      </c>
      <c r="AM59" s="122">
        <v>0</v>
      </c>
      <c r="AN59" s="122">
        <f t="shared" si="18"/>
        <v>-242228</v>
      </c>
      <c r="AO59" s="122"/>
      <c r="AP59" s="122">
        <f t="shared" si="43"/>
        <v>242228</v>
      </c>
      <c r="AQ59" s="122"/>
      <c r="AR59" s="34">
        <f t="shared" si="20"/>
        <v>242228</v>
      </c>
      <c r="AS59" s="10">
        <f t="shared" si="20"/>
        <v>1</v>
      </c>
      <c r="AT59" s="10">
        <v>0</v>
      </c>
      <c r="AU59" s="10">
        <f t="shared" si="21"/>
        <v>0</v>
      </c>
      <c r="AV59" s="10">
        <f>242228</f>
        <v>242228</v>
      </c>
      <c r="AW59" s="10">
        <f t="shared" si="22"/>
        <v>1</v>
      </c>
      <c r="AX59" s="10">
        <f>AR59/0.8*0.2</f>
        <v>60557</v>
      </c>
      <c r="AY59" s="10"/>
      <c r="AZ59" s="10"/>
      <c r="BA59" s="10">
        <v>0</v>
      </c>
      <c r="BB59" s="10">
        <v>0</v>
      </c>
      <c r="BC59" s="10">
        <f t="shared" si="24"/>
        <v>0</v>
      </c>
      <c r="BD59" s="10"/>
      <c r="BE59" s="26">
        <f t="shared" si="25"/>
        <v>0</v>
      </c>
      <c r="BF59" s="122">
        <f t="shared" si="25"/>
        <v>0</v>
      </c>
      <c r="BG59" s="122"/>
      <c r="BH59" s="122">
        <f t="shared" si="26"/>
        <v>0</v>
      </c>
      <c r="BI59" s="122"/>
      <c r="BJ59" s="122">
        <f t="shared" si="27"/>
        <v>0</v>
      </c>
      <c r="BK59" s="122"/>
      <c r="BL59" s="122"/>
      <c r="BM59" s="122"/>
      <c r="BN59" s="122" t="s">
        <v>868</v>
      </c>
      <c r="BO59" s="122" t="s">
        <v>403</v>
      </c>
      <c r="BP59" s="122" t="s">
        <v>872</v>
      </c>
      <c r="BQ59" s="122" t="s">
        <v>870</v>
      </c>
      <c r="BR59" s="122" t="s">
        <v>871</v>
      </c>
      <c r="BS59" s="122" t="s">
        <v>869</v>
      </c>
      <c r="BT59" s="55" t="s">
        <v>873</v>
      </c>
    </row>
    <row r="60" spans="1:77" s="35" customFormat="1" ht="11.25" collapsed="1" x14ac:dyDescent="0.25">
      <c r="A60" s="48"/>
      <c r="B60" s="57">
        <v>30</v>
      </c>
      <c r="C60" s="26" t="s">
        <v>1305</v>
      </c>
      <c r="D60" s="26"/>
      <c r="E60" s="26"/>
      <c r="F60" s="27">
        <f>F61+F91</f>
        <v>16455069.986999998</v>
      </c>
      <c r="G60" s="27">
        <f>G61+G91</f>
        <v>15874916</v>
      </c>
      <c r="H60" s="27">
        <f>H61</f>
        <v>3790818</v>
      </c>
      <c r="I60" s="27">
        <f>I61</f>
        <v>466916</v>
      </c>
      <c r="J60" s="27"/>
      <c r="K60" s="27"/>
      <c r="L60" s="27"/>
      <c r="M60" s="27">
        <f>M61+M91</f>
        <v>2808743</v>
      </c>
      <c r="N60" s="27">
        <f>N61+N91</f>
        <v>1283235.5555555555</v>
      </c>
      <c r="O60" s="27">
        <v>10535698.333333332</v>
      </c>
      <c r="P60" s="27">
        <v>38</v>
      </c>
      <c r="Q60" s="27">
        <v>3109598</v>
      </c>
      <c r="R60" s="26">
        <v>14</v>
      </c>
      <c r="S60" s="27">
        <f>S61+S91</f>
        <v>2121550</v>
      </c>
      <c r="T60" s="27">
        <f>T61+T91</f>
        <v>0</v>
      </c>
      <c r="U60" s="27">
        <f t="shared" ref="U60:AB60" si="57">U61+U91</f>
        <v>3109598</v>
      </c>
      <c r="V60" s="27">
        <f t="shared" si="57"/>
        <v>14</v>
      </c>
      <c r="W60" s="27">
        <f t="shared" si="57"/>
        <v>907470</v>
      </c>
      <c r="X60" s="27">
        <f t="shared" si="57"/>
        <v>4</v>
      </c>
      <c r="Y60" s="27">
        <f t="shared" si="57"/>
        <v>2202128</v>
      </c>
      <c r="Z60" s="27">
        <f t="shared" si="57"/>
        <v>10</v>
      </c>
      <c r="AA60" s="27">
        <f t="shared" si="57"/>
        <v>-2202128</v>
      </c>
      <c r="AB60" s="27">
        <f t="shared" si="57"/>
        <v>247442</v>
      </c>
      <c r="AC60" s="27">
        <f>AC61+AC91</f>
        <v>1154912</v>
      </c>
      <c r="AD60" s="26">
        <f t="shared" si="4"/>
        <v>8</v>
      </c>
      <c r="AE60" s="27">
        <f>AE61+AE91</f>
        <v>1104912</v>
      </c>
      <c r="AF60" s="27">
        <f>AF61+AF91</f>
        <v>7</v>
      </c>
      <c r="AG60" s="27">
        <f>AG61+AG91</f>
        <v>50000</v>
      </c>
      <c r="AH60" s="27">
        <f>AH61+AH91</f>
        <v>1</v>
      </c>
      <c r="AI60" s="27">
        <f>AI61+AI91</f>
        <v>128323.55555555556</v>
      </c>
      <c r="AJ60" s="27">
        <f t="shared" ref="AJ60:AZ60" si="58">AJ61+AJ91</f>
        <v>9</v>
      </c>
      <c r="AK60" s="27">
        <f t="shared" si="58"/>
        <v>5</v>
      </c>
      <c r="AL60" s="27">
        <f t="shared" si="58"/>
        <v>7749837</v>
      </c>
      <c r="AM60" s="27">
        <f t="shared" si="58"/>
        <v>21</v>
      </c>
      <c r="AN60" s="27">
        <f t="shared" si="58"/>
        <v>-1810057</v>
      </c>
      <c r="AO60" s="27">
        <f t="shared" si="58"/>
        <v>0</v>
      </c>
      <c r="AP60" s="27">
        <f t="shared" si="58"/>
        <v>1954686</v>
      </c>
      <c r="AQ60" s="27">
        <f t="shared" si="58"/>
        <v>0</v>
      </c>
      <c r="AR60" s="27">
        <f t="shared" si="58"/>
        <v>9559894</v>
      </c>
      <c r="AS60" s="27">
        <f t="shared" si="58"/>
        <v>29</v>
      </c>
      <c r="AT60" s="27">
        <f t="shared" si="58"/>
        <v>3187532</v>
      </c>
      <c r="AU60" s="27">
        <f t="shared" si="58"/>
        <v>8</v>
      </c>
      <c r="AV60" s="27">
        <f t="shared" si="58"/>
        <v>6372362</v>
      </c>
      <c r="AW60" s="27">
        <f t="shared" si="58"/>
        <v>21</v>
      </c>
      <c r="AX60" s="27">
        <f t="shared" si="58"/>
        <v>1009943.4444444446</v>
      </c>
      <c r="AY60" s="27">
        <f t="shared" si="58"/>
        <v>16</v>
      </c>
      <c r="AZ60" s="27">
        <f t="shared" si="58"/>
        <v>5</v>
      </c>
      <c r="BA60" s="27">
        <v>2818489</v>
      </c>
      <c r="BB60" s="27">
        <v>11</v>
      </c>
      <c r="BC60" s="34">
        <f t="shared" si="24"/>
        <v>1505605</v>
      </c>
      <c r="BD60" s="27"/>
      <c r="BE60" s="27">
        <f t="shared" ref="BE60:BT60" si="59">BE61+BE91</f>
        <v>1312884</v>
      </c>
      <c r="BF60" s="27">
        <f t="shared" si="59"/>
        <v>5</v>
      </c>
      <c r="BG60" s="27">
        <f t="shared" si="59"/>
        <v>1312884</v>
      </c>
      <c r="BH60" s="27">
        <f t="shared" si="59"/>
        <v>5</v>
      </c>
      <c r="BI60" s="27">
        <f t="shared" si="59"/>
        <v>0</v>
      </c>
      <c r="BJ60" s="27">
        <f t="shared" si="59"/>
        <v>0</v>
      </c>
      <c r="BK60" s="27">
        <f t="shared" si="59"/>
        <v>145877</v>
      </c>
      <c r="BL60" s="27">
        <f t="shared" si="59"/>
        <v>5</v>
      </c>
      <c r="BM60" s="27">
        <f t="shared" si="59"/>
        <v>0</v>
      </c>
      <c r="BN60" s="27">
        <f t="shared" si="59"/>
        <v>0</v>
      </c>
      <c r="BO60" s="27">
        <f t="shared" si="59"/>
        <v>0</v>
      </c>
      <c r="BP60" s="27">
        <f t="shared" si="59"/>
        <v>0</v>
      </c>
      <c r="BQ60" s="27">
        <f t="shared" si="59"/>
        <v>0</v>
      </c>
      <c r="BR60" s="27">
        <f t="shared" si="59"/>
        <v>0</v>
      </c>
      <c r="BS60" s="27">
        <f t="shared" si="59"/>
        <v>0</v>
      </c>
      <c r="BT60" s="61">
        <f t="shared" si="59"/>
        <v>0</v>
      </c>
      <c r="BU60" s="25"/>
      <c r="BV60" s="25"/>
      <c r="BW60" s="25"/>
      <c r="BX60" s="25"/>
      <c r="BY60" s="25"/>
    </row>
    <row r="61" spans="1:77" s="3" customFormat="1" ht="11.25" hidden="1" outlineLevel="1" x14ac:dyDescent="0.25">
      <c r="A61" s="124"/>
      <c r="B61" s="125">
        <v>26</v>
      </c>
      <c r="C61" s="11" t="s">
        <v>7</v>
      </c>
      <c r="D61" s="122"/>
      <c r="E61" s="122"/>
      <c r="F61" s="122">
        <f>SUM(F62:F90)</f>
        <v>13676200.986999998</v>
      </c>
      <c r="G61" s="122">
        <f>SUM(G62:G90)</f>
        <v>13186209</v>
      </c>
      <c r="H61" s="122">
        <f>H62+H63+H64+H65</f>
        <v>3790818</v>
      </c>
      <c r="I61" s="122">
        <f>I62+I63+I64+I65</f>
        <v>466916</v>
      </c>
      <c r="J61" s="122"/>
      <c r="K61" s="122"/>
      <c r="L61" s="122"/>
      <c r="M61" s="122">
        <f>SUM(M62:M90)</f>
        <v>2808743</v>
      </c>
      <c r="N61" s="122">
        <f>SUM(N62:N90)</f>
        <v>1227680</v>
      </c>
      <c r="O61" s="122">
        <v>8462743.3333333321</v>
      </c>
      <c r="P61" s="122">
        <v>33</v>
      </c>
      <c r="Q61" s="26">
        <v>2259279</v>
      </c>
      <c r="R61" s="122">
        <v>10</v>
      </c>
      <c r="S61" s="26">
        <f t="shared" ref="S61:AZ61" si="60">SUM(S62:S90)</f>
        <v>1321231</v>
      </c>
      <c r="T61" s="26">
        <f t="shared" si="60"/>
        <v>0</v>
      </c>
      <c r="U61" s="26">
        <f t="shared" si="60"/>
        <v>2259279</v>
      </c>
      <c r="V61" s="26">
        <f t="shared" si="60"/>
        <v>10</v>
      </c>
      <c r="W61" s="26">
        <f t="shared" si="60"/>
        <v>907470</v>
      </c>
      <c r="X61" s="26">
        <f t="shared" si="60"/>
        <v>4</v>
      </c>
      <c r="Y61" s="26">
        <f t="shared" si="60"/>
        <v>1351809</v>
      </c>
      <c r="Z61" s="26">
        <f t="shared" si="60"/>
        <v>6</v>
      </c>
      <c r="AA61" s="26">
        <f t="shared" si="60"/>
        <v>-1351809</v>
      </c>
      <c r="AB61" s="26">
        <f t="shared" si="60"/>
        <v>197442</v>
      </c>
      <c r="AC61" s="26">
        <f t="shared" si="60"/>
        <v>1104912</v>
      </c>
      <c r="AD61" s="122">
        <f t="shared" si="60"/>
        <v>7</v>
      </c>
      <c r="AE61" s="122">
        <f>SUM(AE62:AE90)</f>
        <v>1104912</v>
      </c>
      <c r="AF61" s="122">
        <f t="shared" si="60"/>
        <v>7</v>
      </c>
      <c r="AG61" s="122">
        <f t="shared" si="60"/>
        <v>0</v>
      </c>
      <c r="AH61" s="122">
        <f t="shared" si="60"/>
        <v>0</v>
      </c>
      <c r="AI61" s="122">
        <f t="shared" si="60"/>
        <v>122768</v>
      </c>
      <c r="AJ61" s="122">
        <f t="shared" si="60"/>
        <v>7</v>
      </c>
      <c r="AK61" s="122">
        <f t="shared" si="60"/>
        <v>3</v>
      </c>
      <c r="AL61" s="122">
        <f t="shared" si="60"/>
        <v>6180320</v>
      </c>
      <c r="AM61" s="122">
        <f t="shared" si="60"/>
        <v>19</v>
      </c>
      <c r="AN61" s="122">
        <f t="shared" si="60"/>
        <v>-959738</v>
      </c>
      <c r="AO61" s="122">
        <f t="shared" si="60"/>
        <v>0</v>
      </c>
      <c r="AP61" s="122">
        <f t="shared" si="60"/>
        <v>1154367</v>
      </c>
      <c r="AQ61" s="122">
        <f t="shared" si="60"/>
        <v>0</v>
      </c>
      <c r="AR61" s="26">
        <f t="shared" si="60"/>
        <v>7140058</v>
      </c>
      <c r="AS61" s="122">
        <f t="shared" si="60"/>
        <v>25</v>
      </c>
      <c r="AT61" s="122">
        <f t="shared" si="60"/>
        <v>3187532</v>
      </c>
      <c r="AU61" s="122">
        <f t="shared" si="60"/>
        <v>8</v>
      </c>
      <c r="AV61" s="122">
        <f t="shared" si="60"/>
        <v>3952526</v>
      </c>
      <c r="AW61" s="122">
        <f t="shared" si="60"/>
        <v>17</v>
      </c>
      <c r="AX61" s="122">
        <f t="shared" si="60"/>
        <v>763294.33333333349</v>
      </c>
      <c r="AY61" s="122">
        <f t="shared" si="60"/>
        <v>14</v>
      </c>
      <c r="AZ61" s="122">
        <f t="shared" si="60"/>
        <v>5</v>
      </c>
      <c r="BA61" s="122">
        <v>1312884</v>
      </c>
      <c r="BB61" s="122">
        <v>5</v>
      </c>
      <c r="BC61" s="10">
        <f t="shared" si="24"/>
        <v>0</v>
      </c>
      <c r="BD61" s="122"/>
      <c r="BE61" s="26">
        <f t="shared" ref="BE61:BT61" si="61">SUM(BE62:BE90)</f>
        <v>1312884</v>
      </c>
      <c r="BF61" s="122">
        <f t="shared" si="61"/>
        <v>5</v>
      </c>
      <c r="BG61" s="122">
        <f t="shared" si="61"/>
        <v>1312884</v>
      </c>
      <c r="BH61" s="122">
        <f t="shared" si="61"/>
        <v>5</v>
      </c>
      <c r="BI61" s="122">
        <f t="shared" si="61"/>
        <v>0</v>
      </c>
      <c r="BJ61" s="122">
        <f t="shared" si="61"/>
        <v>0</v>
      </c>
      <c r="BK61" s="122">
        <f t="shared" si="61"/>
        <v>145877</v>
      </c>
      <c r="BL61" s="122">
        <f t="shared" si="61"/>
        <v>5</v>
      </c>
      <c r="BM61" s="122">
        <f t="shared" si="61"/>
        <v>0</v>
      </c>
      <c r="BN61" s="122">
        <f t="shared" si="61"/>
        <v>0</v>
      </c>
      <c r="BO61" s="122">
        <f t="shared" si="61"/>
        <v>0</v>
      </c>
      <c r="BP61" s="122">
        <f t="shared" si="61"/>
        <v>0</v>
      </c>
      <c r="BQ61" s="122">
        <f t="shared" si="61"/>
        <v>0</v>
      </c>
      <c r="BR61" s="122">
        <f t="shared" si="61"/>
        <v>0</v>
      </c>
      <c r="BS61" s="122">
        <f t="shared" si="61"/>
        <v>0</v>
      </c>
      <c r="BT61" s="55">
        <f t="shared" si="61"/>
        <v>0</v>
      </c>
    </row>
    <row r="62" spans="1:77" s="3" customFormat="1" ht="48" hidden="1" customHeight="1" outlineLevel="1" x14ac:dyDescent="0.25">
      <c r="A62" s="124"/>
      <c r="B62" s="59">
        <v>1</v>
      </c>
      <c r="C62" s="122" t="s">
        <v>1451</v>
      </c>
      <c r="D62" s="122" t="s">
        <v>247</v>
      </c>
      <c r="E62" s="122" t="s">
        <v>9</v>
      </c>
      <c r="F62" s="122">
        <v>225995</v>
      </c>
      <c r="G62" s="122">
        <v>216794</v>
      </c>
      <c r="H62" s="122">
        <v>216178</v>
      </c>
      <c r="I62" s="122">
        <f t="shared" ref="I62:I65" si="62">G62-H62</f>
        <v>616</v>
      </c>
      <c r="J62" s="122">
        <v>1</v>
      </c>
      <c r="K62" s="122">
        <v>1</v>
      </c>
      <c r="L62" s="122"/>
      <c r="M62" s="122">
        <v>108397</v>
      </c>
      <c r="N62" s="122">
        <f>AC62+AI62</f>
        <v>141756.66666666666</v>
      </c>
      <c r="O62" s="122">
        <v>98534</v>
      </c>
      <c r="P62" s="122">
        <v>1</v>
      </c>
      <c r="Q62" s="26">
        <v>97557</v>
      </c>
      <c r="R62" s="122">
        <v>1</v>
      </c>
      <c r="S62" s="122">
        <f t="shared" si="10"/>
        <v>-30024</v>
      </c>
      <c r="T62" s="122"/>
      <c r="U62" s="26">
        <f t="shared" ref="U62:V65" si="63">W62+Y62</f>
        <v>97003</v>
      </c>
      <c r="V62" s="122">
        <f t="shared" si="63"/>
        <v>1</v>
      </c>
      <c r="W62" s="122">
        <v>97003</v>
      </c>
      <c r="X62" s="122">
        <f t="shared" ref="X62:X65" si="64">IF(W62,1,0)</f>
        <v>1</v>
      </c>
      <c r="Y62" s="122"/>
      <c r="Z62" s="122">
        <f t="shared" ref="Z62:Z65" si="65">IF(Y62,1,0)</f>
        <v>0</v>
      </c>
      <c r="AA62" s="122"/>
      <c r="AB62" s="122">
        <v>30578</v>
      </c>
      <c r="AC62" s="26">
        <f t="shared" si="14"/>
        <v>127581</v>
      </c>
      <c r="AD62" s="122">
        <f t="shared" si="4"/>
        <v>1</v>
      </c>
      <c r="AE62" s="122">
        <f>97003+30578</f>
        <v>127581</v>
      </c>
      <c r="AF62" s="122">
        <f t="shared" ref="AF62:AF90" si="66">IF(AE62,1,0)</f>
        <v>1</v>
      </c>
      <c r="AG62" s="122"/>
      <c r="AH62" s="122">
        <f t="shared" ref="AH62:AH90" si="67">IF(AG62,1,0)</f>
        <v>0</v>
      </c>
      <c r="AI62" s="122">
        <f>AC62/0.9*0.1</f>
        <v>14175.666666666666</v>
      </c>
      <c r="AJ62" s="122">
        <v>1</v>
      </c>
      <c r="AK62" s="122"/>
      <c r="AL62" s="122">
        <v>0</v>
      </c>
      <c r="AM62" s="122">
        <v>0</v>
      </c>
      <c r="AN62" s="122">
        <f t="shared" si="18"/>
        <v>-30588</v>
      </c>
      <c r="AO62" s="122"/>
      <c r="AP62" s="122">
        <f>U62-AC62</f>
        <v>-30578</v>
      </c>
      <c r="AQ62" s="122"/>
      <c r="AR62" s="34">
        <f t="shared" si="20"/>
        <v>30588</v>
      </c>
      <c r="AS62" s="10">
        <f t="shared" si="20"/>
        <v>1</v>
      </c>
      <c r="AT62" s="10">
        <v>30588</v>
      </c>
      <c r="AU62" s="10">
        <f t="shared" si="21"/>
        <v>1</v>
      </c>
      <c r="AV62" s="10"/>
      <c r="AW62" s="10">
        <f t="shared" si="22"/>
        <v>0</v>
      </c>
      <c r="AX62" s="10">
        <f>AR62/0.9*0.1</f>
        <v>3398.6666666666665</v>
      </c>
      <c r="AY62" s="10"/>
      <c r="AZ62" s="10"/>
      <c r="BA62" s="10">
        <v>0</v>
      </c>
      <c r="BB62" s="10">
        <v>0</v>
      </c>
      <c r="BC62" s="10">
        <f t="shared" si="24"/>
        <v>0</v>
      </c>
      <c r="BD62" s="10"/>
      <c r="BE62" s="26">
        <f t="shared" si="25"/>
        <v>0</v>
      </c>
      <c r="BF62" s="122">
        <f t="shared" si="25"/>
        <v>0</v>
      </c>
      <c r="BG62" s="122"/>
      <c r="BH62" s="122">
        <f t="shared" si="26"/>
        <v>0</v>
      </c>
      <c r="BI62" s="122"/>
      <c r="BJ62" s="122">
        <f t="shared" si="27"/>
        <v>0</v>
      </c>
      <c r="BK62" s="122"/>
      <c r="BL62" s="122"/>
      <c r="BM62" s="122"/>
      <c r="BN62" s="122" t="s">
        <v>1824</v>
      </c>
      <c r="BO62" s="122" t="s">
        <v>261</v>
      </c>
      <c r="BP62" s="122" t="s">
        <v>262</v>
      </c>
      <c r="BQ62" s="122" t="s">
        <v>263</v>
      </c>
      <c r="BR62" s="122" t="s">
        <v>1360</v>
      </c>
      <c r="BS62" s="13" t="s">
        <v>264</v>
      </c>
      <c r="BT62" s="55"/>
    </row>
    <row r="63" spans="1:77" s="3" customFormat="1" ht="63.75" hidden="1" customHeight="1" outlineLevel="1" x14ac:dyDescent="0.25">
      <c r="A63" s="124"/>
      <c r="B63" s="59">
        <v>2</v>
      </c>
      <c r="C63" s="122" t="s">
        <v>1452</v>
      </c>
      <c r="D63" s="122" t="s">
        <v>248</v>
      </c>
      <c r="E63" s="122" t="s">
        <v>168</v>
      </c>
      <c r="F63" s="122">
        <v>3360417</v>
      </c>
      <c r="G63" s="122">
        <v>3271357</v>
      </c>
      <c r="H63" s="122">
        <v>3265636</v>
      </c>
      <c r="I63" s="122">
        <f t="shared" si="62"/>
        <v>5721</v>
      </c>
      <c r="J63" s="122">
        <v>1</v>
      </c>
      <c r="K63" s="122"/>
      <c r="L63" s="122"/>
      <c r="M63" s="122">
        <v>1687341</v>
      </c>
      <c r="N63" s="122">
        <f t="shared" ref="N63:N90" si="68">AC63+AI63</f>
        <v>487470</v>
      </c>
      <c r="O63" s="122">
        <v>1008788</v>
      </c>
      <c r="P63" s="122">
        <v>1</v>
      </c>
      <c r="Q63" s="26">
        <v>438723</v>
      </c>
      <c r="R63" s="122">
        <v>1</v>
      </c>
      <c r="S63" s="122">
        <f t="shared" si="10"/>
        <v>0</v>
      </c>
      <c r="T63" s="122"/>
      <c r="U63" s="26">
        <f t="shared" si="63"/>
        <v>438723</v>
      </c>
      <c r="V63" s="122">
        <f t="shared" si="63"/>
        <v>1</v>
      </c>
      <c r="W63" s="122">
        <v>438723</v>
      </c>
      <c r="X63" s="122">
        <f t="shared" si="64"/>
        <v>1</v>
      </c>
      <c r="Y63" s="122"/>
      <c r="Z63" s="122">
        <f t="shared" si="65"/>
        <v>0</v>
      </c>
      <c r="AA63" s="122"/>
      <c r="AB63" s="122"/>
      <c r="AC63" s="26">
        <f t="shared" si="14"/>
        <v>438723</v>
      </c>
      <c r="AD63" s="122">
        <f t="shared" si="4"/>
        <v>1</v>
      </c>
      <c r="AE63" s="122">
        <v>438723</v>
      </c>
      <c r="AF63" s="122">
        <f t="shared" si="66"/>
        <v>1</v>
      </c>
      <c r="AG63" s="122"/>
      <c r="AH63" s="122">
        <f t="shared" si="67"/>
        <v>0</v>
      </c>
      <c r="AI63" s="122">
        <f t="shared" ref="AI63:AI90" si="69">AC63/0.9*0.1</f>
        <v>48747</v>
      </c>
      <c r="AJ63" s="122"/>
      <c r="AK63" s="122">
        <v>1</v>
      </c>
      <c r="AL63" s="122">
        <v>1569491</v>
      </c>
      <c r="AM63" s="122">
        <v>1</v>
      </c>
      <c r="AN63" s="122">
        <f t="shared" si="18"/>
        <v>449026</v>
      </c>
      <c r="AO63" s="122"/>
      <c r="AP63" s="122">
        <f t="shared" ref="AP63:AP95" si="70">U63-AC63</f>
        <v>0</v>
      </c>
      <c r="AQ63" s="122"/>
      <c r="AR63" s="34">
        <f t="shared" si="20"/>
        <v>1120465</v>
      </c>
      <c r="AS63" s="10">
        <f t="shared" si="20"/>
        <v>1</v>
      </c>
      <c r="AT63" s="10">
        <f>981742+138723</f>
        <v>1120465</v>
      </c>
      <c r="AU63" s="10">
        <v>1</v>
      </c>
      <c r="AV63" s="10"/>
      <c r="AW63" s="10">
        <f t="shared" si="22"/>
        <v>0</v>
      </c>
      <c r="AX63" s="10">
        <f>AR63/0.9*0.1</f>
        <v>124496.11111111111</v>
      </c>
      <c r="AY63" s="10">
        <v>1</v>
      </c>
      <c r="AZ63" s="10"/>
      <c r="BA63" s="10">
        <v>0</v>
      </c>
      <c r="BB63" s="10">
        <v>0</v>
      </c>
      <c r="BC63" s="10">
        <f t="shared" si="24"/>
        <v>0</v>
      </c>
      <c r="BD63" s="10"/>
      <c r="BE63" s="26">
        <f t="shared" si="25"/>
        <v>0</v>
      </c>
      <c r="BF63" s="122">
        <f t="shared" si="25"/>
        <v>0</v>
      </c>
      <c r="BG63" s="122"/>
      <c r="BH63" s="122">
        <f t="shared" si="26"/>
        <v>0</v>
      </c>
      <c r="BI63" s="122"/>
      <c r="BJ63" s="122">
        <f t="shared" si="27"/>
        <v>0</v>
      </c>
      <c r="BK63" s="122"/>
      <c r="BL63" s="122"/>
      <c r="BM63" s="122"/>
      <c r="BN63" s="122" t="s">
        <v>1361</v>
      </c>
      <c r="BO63" s="122" t="s">
        <v>265</v>
      </c>
      <c r="BP63" s="122" t="s">
        <v>922</v>
      </c>
      <c r="BQ63" s="122" t="s">
        <v>267</v>
      </c>
      <c r="BR63" s="122" t="s">
        <v>268</v>
      </c>
      <c r="BS63" s="122" t="s">
        <v>260</v>
      </c>
      <c r="BT63" s="55" t="s">
        <v>1362</v>
      </c>
    </row>
    <row r="64" spans="1:77" s="3" customFormat="1" ht="57.75" hidden="1" customHeight="1" outlineLevel="1" x14ac:dyDescent="0.25">
      <c r="A64" s="124"/>
      <c r="B64" s="59">
        <v>3</v>
      </c>
      <c r="C64" s="122" t="s">
        <v>1453</v>
      </c>
      <c r="D64" s="122" t="s">
        <v>251</v>
      </c>
      <c r="E64" s="122" t="s">
        <v>9</v>
      </c>
      <c r="F64" s="122">
        <v>333462</v>
      </c>
      <c r="G64" s="122">
        <v>310359</v>
      </c>
      <c r="H64" s="122">
        <v>309004</v>
      </c>
      <c r="I64" s="122">
        <f t="shared" si="62"/>
        <v>1355</v>
      </c>
      <c r="J64" s="122">
        <v>1</v>
      </c>
      <c r="K64" s="122">
        <v>1</v>
      </c>
      <c r="L64" s="122"/>
      <c r="M64" s="122">
        <v>155179</v>
      </c>
      <c r="N64" s="122">
        <f t="shared" si="68"/>
        <v>153824.44444444444</v>
      </c>
      <c r="O64" s="122">
        <v>141059</v>
      </c>
      <c r="P64" s="122">
        <v>1</v>
      </c>
      <c r="Q64" s="26">
        <v>139662</v>
      </c>
      <c r="R64" s="122">
        <v>1</v>
      </c>
      <c r="S64" s="122">
        <f t="shared" si="10"/>
        <v>1220</v>
      </c>
      <c r="T64" s="122"/>
      <c r="U64" s="26">
        <f t="shared" si="63"/>
        <v>138442</v>
      </c>
      <c r="V64" s="122">
        <f t="shared" si="63"/>
        <v>1</v>
      </c>
      <c r="W64" s="122">
        <v>138442</v>
      </c>
      <c r="X64" s="122">
        <f t="shared" si="64"/>
        <v>1</v>
      </c>
      <c r="Y64" s="122"/>
      <c r="Z64" s="122">
        <f t="shared" si="65"/>
        <v>0</v>
      </c>
      <c r="AA64" s="122">
        <v>0</v>
      </c>
      <c r="AB64" s="122"/>
      <c r="AC64" s="26">
        <f t="shared" si="14"/>
        <v>138442</v>
      </c>
      <c r="AD64" s="122">
        <f t="shared" si="4"/>
        <v>1</v>
      </c>
      <c r="AE64" s="122">
        <v>138442</v>
      </c>
      <c r="AF64" s="122">
        <f t="shared" si="66"/>
        <v>1</v>
      </c>
      <c r="AG64" s="122"/>
      <c r="AH64" s="122">
        <f t="shared" si="67"/>
        <v>0</v>
      </c>
      <c r="AI64" s="122">
        <f t="shared" si="69"/>
        <v>15382.444444444445</v>
      </c>
      <c r="AJ64" s="122">
        <v>1</v>
      </c>
      <c r="AK64" s="122"/>
      <c r="AL64" s="122">
        <v>0</v>
      </c>
      <c r="AM64" s="122">
        <v>0</v>
      </c>
      <c r="AN64" s="122">
        <f t="shared" si="18"/>
        <v>0</v>
      </c>
      <c r="AO64" s="122"/>
      <c r="AP64" s="122">
        <f t="shared" si="70"/>
        <v>0</v>
      </c>
      <c r="AQ64" s="122"/>
      <c r="AR64" s="34">
        <f t="shared" si="20"/>
        <v>0</v>
      </c>
      <c r="AS64" s="10">
        <f t="shared" si="20"/>
        <v>0</v>
      </c>
      <c r="AT64" s="10"/>
      <c r="AU64" s="10">
        <f t="shared" si="21"/>
        <v>0</v>
      </c>
      <c r="AV64" s="10"/>
      <c r="AW64" s="10">
        <f t="shared" si="22"/>
        <v>0</v>
      </c>
      <c r="AX64" s="10">
        <f t="shared" ref="AX64:AX65" si="71">AR64/0.9*0.1</f>
        <v>0</v>
      </c>
      <c r="AY64" s="10"/>
      <c r="AZ64" s="10"/>
      <c r="BA64" s="10">
        <v>0</v>
      </c>
      <c r="BB64" s="10">
        <v>0</v>
      </c>
      <c r="BC64" s="10">
        <f t="shared" si="24"/>
        <v>0</v>
      </c>
      <c r="BD64" s="10"/>
      <c r="BE64" s="26">
        <f t="shared" si="25"/>
        <v>0</v>
      </c>
      <c r="BF64" s="122">
        <f t="shared" si="25"/>
        <v>0</v>
      </c>
      <c r="BG64" s="122"/>
      <c r="BH64" s="122">
        <f t="shared" si="26"/>
        <v>0</v>
      </c>
      <c r="BI64" s="122"/>
      <c r="BJ64" s="122">
        <f t="shared" si="27"/>
        <v>0</v>
      </c>
      <c r="BK64" s="122"/>
      <c r="BL64" s="122"/>
      <c r="BM64" s="122"/>
      <c r="BN64" s="122" t="s">
        <v>1363</v>
      </c>
      <c r="BO64" s="13" t="s">
        <v>270</v>
      </c>
      <c r="BP64" s="122" t="s">
        <v>271</v>
      </c>
      <c r="BQ64" s="122" t="s">
        <v>272</v>
      </c>
      <c r="BR64" s="122" t="s">
        <v>273</v>
      </c>
      <c r="BS64" s="13" t="s">
        <v>274</v>
      </c>
      <c r="BT64" s="55"/>
    </row>
    <row r="65" spans="1:72" s="3" customFormat="1" ht="48.75" hidden="1" customHeight="1" outlineLevel="1" x14ac:dyDescent="0.25">
      <c r="A65" s="124"/>
      <c r="B65" s="59">
        <v>4</v>
      </c>
      <c r="C65" s="122" t="s">
        <v>258</v>
      </c>
      <c r="D65" s="122" t="s">
        <v>259</v>
      </c>
      <c r="E65" s="122" t="s">
        <v>9</v>
      </c>
      <c r="F65" s="122">
        <v>482734</v>
      </c>
      <c r="G65" s="122">
        <v>459224</v>
      </c>
      <c r="H65" s="26"/>
      <c r="I65" s="122">
        <f t="shared" si="62"/>
        <v>459224</v>
      </c>
      <c r="J65" s="122">
        <v>1</v>
      </c>
      <c r="K65" s="122">
        <v>1</v>
      </c>
      <c r="L65" s="122"/>
      <c r="M65" s="122">
        <v>200000</v>
      </c>
      <c r="N65" s="122">
        <f t="shared" si="68"/>
        <v>259224.44444444444</v>
      </c>
      <c r="O65" s="122">
        <v>235102</v>
      </c>
      <c r="P65" s="122">
        <v>1</v>
      </c>
      <c r="Q65" s="26">
        <v>233302</v>
      </c>
      <c r="R65" s="122">
        <v>1</v>
      </c>
      <c r="S65" s="122">
        <f t="shared" si="10"/>
        <v>0</v>
      </c>
      <c r="T65" s="122"/>
      <c r="U65" s="26">
        <f t="shared" si="63"/>
        <v>233302</v>
      </c>
      <c r="V65" s="122">
        <f t="shared" si="63"/>
        <v>1</v>
      </c>
      <c r="W65" s="122">
        <v>233302</v>
      </c>
      <c r="X65" s="122">
        <f t="shared" si="64"/>
        <v>1</v>
      </c>
      <c r="Y65" s="122"/>
      <c r="Z65" s="122">
        <f t="shared" si="65"/>
        <v>0</v>
      </c>
      <c r="AA65" s="122">
        <v>0</v>
      </c>
      <c r="AB65" s="122"/>
      <c r="AC65" s="26">
        <f t="shared" si="14"/>
        <v>233302</v>
      </c>
      <c r="AD65" s="122">
        <f t="shared" si="4"/>
        <v>1</v>
      </c>
      <c r="AE65" s="122">
        <f>233302</f>
        <v>233302</v>
      </c>
      <c r="AF65" s="122">
        <f t="shared" si="66"/>
        <v>1</v>
      </c>
      <c r="AG65" s="122"/>
      <c r="AH65" s="122">
        <f t="shared" si="67"/>
        <v>0</v>
      </c>
      <c r="AI65" s="122">
        <f t="shared" si="69"/>
        <v>25922.444444444445</v>
      </c>
      <c r="AJ65" s="122">
        <v>1</v>
      </c>
      <c r="AK65" s="122"/>
      <c r="AL65" s="122">
        <v>0</v>
      </c>
      <c r="AM65" s="122">
        <v>0</v>
      </c>
      <c r="AN65" s="122">
        <f t="shared" si="18"/>
        <v>-133302</v>
      </c>
      <c r="AO65" s="122"/>
      <c r="AP65" s="122">
        <f t="shared" si="70"/>
        <v>0</v>
      </c>
      <c r="AQ65" s="122"/>
      <c r="AR65" s="34">
        <f t="shared" si="20"/>
        <v>133302</v>
      </c>
      <c r="AS65" s="10">
        <f t="shared" si="20"/>
        <v>1</v>
      </c>
      <c r="AT65" s="10">
        <f>71277+62025</f>
        <v>133302</v>
      </c>
      <c r="AU65" s="10">
        <f t="shared" si="21"/>
        <v>1</v>
      </c>
      <c r="AV65" s="10"/>
      <c r="AW65" s="10">
        <f t="shared" si="22"/>
        <v>0</v>
      </c>
      <c r="AX65" s="10">
        <f t="shared" si="71"/>
        <v>14811.333333333336</v>
      </c>
      <c r="AY65" s="10"/>
      <c r="AZ65" s="10"/>
      <c r="BA65" s="10">
        <v>0</v>
      </c>
      <c r="BB65" s="10">
        <v>0</v>
      </c>
      <c r="BC65" s="10">
        <f t="shared" si="24"/>
        <v>0</v>
      </c>
      <c r="BD65" s="10"/>
      <c r="BE65" s="26">
        <f t="shared" si="25"/>
        <v>0</v>
      </c>
      <c r="BF65" s="122">
        <f t="shared" si="25"/>
        <v>0</v>
      </c>
      <c r="BG65" s="122"/>
      <c r="BH65" s="122">
        <f t="shared" si="26"/>
        <v>0</v>
      </c>
      <c r="BI65" s="122"/>
      <c r="BJ65" s="122">
        <f t="shared" si="27"/>
        <v>0</v>
      </c>
      <c r="BK65" s="122"/>
      <c r="BL65" s="122"/>
      <c r="BM65" s="122"/>
      <c r="BN65" s="122" t="s">
        <v>398</v>
      </c>
      <c r="BO65" s="122" t="s">
        <v>400</v>
      </c>
      <c r="BP65" s="122" t="s">
        <v>923</v>
      </c>
      <c r="BQ65" s="122" t="s">
        <v>924</v>
      </c>
      <c r="BR65" s="122" t="s">
        <v>399</v>
      </c>
      <c r="BS65" s="122"/>
      <c r="BT65" s="55"/>
    </row>
    <row r="66" spans="1:72" s="3" customFormat="1" ht="48.75" hidden="1" customHeight="1" outlineLevel="1" x14ac:dyDescent="0.25">
      <c r="A66" s="124"/>
      <c r="B66" s="59"/>
      <c r="C66" s="111" t="s">
        <v>1932</v>
      </c>
      <c r="D66" s="122" t="s">
        <v>2065</v>
      </c>
      <c r="E66" s="122" t="s">
        <v>196</v>
      </c>
      <c r="F66" s="122">
        <v>373692</v>
      </c>
      <c r="G66" s="122">
        <v>362510</v>
      </c>
      <c r="H66" s="67"/>
      <c r="I66" s="122"/>
      <c r="J66" s="122"/>
      <c r="K66" s="122"/>
      <c r="L66" s="122"/>
      <c r="M66" s="122">
        <v>269714</v>
      </c>
      <c r="N66" s="122">
        <f t="shared" si="68"/>
        <v>91384.444444444438</v>
      </c>
      <c r="O66" s="122"/>
      <c r="P66" s="122"/>
      <c r="Q66" s="26"/>
      <c r="R66" s="122"/>
      <c r="S66" s="122"/>
      <c r="T66" s="122"/>
      <c r="U66" s="26"/>
      <c r="V66" s="122"/>
      <c r="W66" s="122"/>
      <c r="X66" s="122"/>
      <c r="Y66" s="122"/>
      <c r="Z66" s="122"/>
      <c r="AA66" s="122"/>
      <c r="AB66" s="122">
        <v>82246</v>
      </c>
      <c r="AC66" s="26">
        <f t="shared" si="14"/>
        <v>82246</v>
      </c>
      <c r="AD66" s="122">
        <f t="shared" si="4"/>
        <v>1</v>
      </c>
      <c r="AE66" s="122">
        <v>82246</v>
      </c>
      <c r="AF66" s="122">
        <f t="shared" si="66"/>
        <v>1</v>
      </c>
      <c r="AG66" s="122"/>
      <c r="AH66" s="122"/>
      <c r="AI66" s="122">
        <f t="shared" si="69"/>
        <v>9138.4444444444434</v>
      </c>
      <c r="AJ66" s="122"/>
      <c r="AK66" s="122"/>
      <c r="AL66" s="122"/>
      <c r="AM66" s="122"/>
      <c r="AN66" s="122"/>
      <c r="AO66" s="122"/>
      <c r="AP66" s="122">
        <f t="shared" si="70"/>
        <v>-82246</v>
      </c>
      <c r="AQ66" s="122"/>
      <c r="AR66" s="34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26"/>
      <c r="BF66" s="122"/>
      <c r="BG66" s="122"/>
      <c r="BH66" s="122"/>
      <c r="BI66" s="122"/>
      <c r="BJ66" s="122"/>
      <c r="BK66" s="122"/>
      <c r="BL66" s="122"/>
      <c r="BM66" s="122"/>
      <c r="BN66" s="122" t="s">
        <v>1938</v>
      </c>
      <c r="BO66" s="122" t="s">
        <v>1939</v>
      </c>
      <c r="BP66" s="122"/>
      <c r="BQ66" s="122"/>
      <c r="BR66" s="122"/>
      <c r="BS66" s="122"/>
      <c r="BT66" s="55"/>
    </row>
    <row r="67" spans="1:72" s="3" customFormat="1" ht="48.75" hidden="1" customHeight="1" outlineLevel="1" x14ac:dyDescent="0.25">
      <c r="A67" s="124"/>
      <c r="B67" s="59"/>
      <c r="C67" s="111" t="s">
        <v>1933</v>
      </c>
      <c r="D67" s="122" t="s">
        <v>2066</v>
      </c>
      <c r="E67" s="122" t="s">
        <v>196</v>
      </c>
      <c r="F67" s="122">
        <v>414450</v>
      </c>
      <c r="G67" s="122">
        <v>393550</v>
      </c>
      <c r="H67" s="67"/>
      <c r="I67" s="122"/>
      <c r="J67" s="122"/>
      <c r="K67" s="122"/>
      <c r="L67" s="122"/>
      <c r="M67" s="122">
        <v>302162</v>
      </c>
      <c r="N67" s="122">
        <f t="shared" si="68"/>
        <v>89495.555555555562</v>
      </c>
      <c r="O67" s="122"/>
      <c r="P67" s="122"/>
      <c r="Q67" s="26"/>
      <c r="R67" s="122"/>
      <c r="S67" s="122"/>
      <c r="T67" s="122"/>
      <c r="U67" s="26"/>
      <c r="V67" s="122"/>
      <c r="W67" s="122"/>
      <c r="X67" s="122"/>
      <c r="Y67" s="122"/>
      <c r="Z67" s="122"/>
      <c r="AA67" s="122"/>
      <c r="AB67" s="122">
        <v>80546</v>
      </c>
      <c r="AC67" s="26">
        <f t="shared" si="14"/>
        <v>80546</v>
      </c>
      <c r="AD67" s="122">
        <f t="shared" si="4"/>
        <v>1</v>
      </c>
      <c r="AE67" s="122">
        <v>80546</v>
      </c>
      <c r="AF67" s="122">
        <f t="shared" si="66"/>
        <v>1</v>
      </c>
      <c r="AG67" s="122"/>
      <c r="AH67" s="122"/>
      <c r="AI67" s="122">
        <f t="shared" si="69"/>
        <v>8949.5555555555547</v>
      </c>
      <c r="AJ67" s="122"/>
      <c r="AK67" s="122"/>
      <c r="AL67" s="122"/>
      <c r="AM67" s="122"/>
      <c r="AN67" s="122"/>
      <c r="AO67" s="122"/>
      <c r="AP67" s="122">
        <f t="shared" si="70"/>
        <v>-80546</v>
      </c>
      <c r="AQ67" s="122"/>
      <c r="AR67" s="34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26"/>
      <c r="BF67" s="122"/>
      <c r="BG67" s="122"/>
      <c r="BH67" s="122"/>
      <c r="BI67" s="122"/>
      <c r="BJ67" s="122"/>
      <c r="BK67" s="122"/>
      <c r="BL67" s="122"/>
      <c r="BM67" s="122"/>
      <c r="BN67" s="122" t="s">
        <v>1940</v>
      </c>
      <c r="BO67" s="122" t="s">
        <v>1939</v>
      </c>
      <c r="BP67" s="122"/>
      <c r="BQ67" s="122"/>
      <c r="BR67" s="122"/>
      <c r="BS67" s="122"/>
      <c r="BT67" s="55"/>
    </row>
    <row r="68" spans="1:72" s="3" customFormat="1" ht="48.75" hidden="1" customHeight="1" outlineLevel="1" x14ac:dyDescent="0.25">
      <c r="A68" s="124"/>
      <c r="B68" s="59"/>
      <c r="C68" s="111" t="s">
        <v>1934</v>
      </c>
      <c r="D68" s="122" t="s">
        <v>2067</v>
      </c>
      <c r="E68" s="122" t="s">
        <v>9</v>
      </c>
      <c r="F68" s="122">
        <v>97423</v>
      </c>
      <c r="G68" s="122">
        <v>90474</v>
      </c>
      <c r="H68" s="67"/>
      <c r="I68" s="122"/>
      <c r="J68" s="122"/>
      <c r="K68" s="122"/>
      <c r="L68" s="122"/>
      <c r="M68" s="122">
        <v>85950</v>
      </c>
      <c r="N68" s="122">
        <f t="shared" si="68"/>
        <v>4524.4444444444443</v>
      </c>
      <c r="O68" s="122"/>
      <c r="P68" s="122"/>
      <c r="Q68" s="26"/>
      <c r="R68" s="122"/>
      <c r="S68" s="122"/>
      <c r="T68" s="122"/>
      <c r="U68" s="26"/>
      <c r="V68" s="122"/>
      <c r="W68" s="122"/>
      <c r="X68" s="122"/>
      <c r="Y68" s="122"/>
      <c r="Z68" s="122"/>
      <c r="AA68" s="122"/>
      <c r="AB68" s="122">
        <v>4072</v>
      </c>
      <c r="AC68" s="26">
        <f t="shared" si="14"/>
        <v>4072</v>
      </c>
      <c r="AD68" s="122">
        <f t="shared" si="4"/>
        <v>1</v>
      </c>
      <c r="AE68" s="122">
        <v>4072</v>
      </c>
      <c r="AF68" s="122">
        <f t="shared" si="66"/>
        <v>1</v>
      </c>
      <c r="AG68" s="122"/>
      <c r="AH68" s="122"/>
      <c r="AI68" s="122">
        <f t="shared" si="69"/>
        <v>452.44444444444446</v>
      </c>
      <c r="AJ68" s="122"/>
      <c r="AK68" s="122"/>
      <c r="AL68" s="122"/>
      <c r="AM68" s="122"/>
      <c r="AN68" s="122"/>
      <c r="AO68" s="122"/>
      <c r="AP68" s="122">
        <f t="shared" si="70"/>
        <v>-4072</v>
      </c>
      <c r="AQ68" s="122"/>
      <c r="AR68" s="34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26"/>
      <c r="BF68" s="122"/>
      <c r="BG68" s="122"/>
      <c r="BH68" s="122"/>
      <c r="BI68" s="122"/>
      <c r="BJ68" s="122"/>
      <c r="BK68" s="122"/>
      <c r="BL68" s="122"/>
      <c r="BM68" s="122"/>
      <c r="BN68" s="122" t="s">
        <v>1941</v>
      </c>
      <c r="BO68" s="122" t="s">
        <v>1942</v>
      </c>
      <c r="BP68" s="122" t="s">
        <v>1943</v>
      </c>
      <c r="BQ68" s="122" t="s">
        <v>1944</v>
      </c>
      <c r="BR68" s="122" t="s">
        <v>1945</v>
      </c>
      <c r="BS68" s="122" t="s">
        <v>1946</v>
      </c>
      <c r="BT68" s="55"/>
    </row>
    <row r="69" spans="1:72" s="3" customFormat="1" ht="38.25" hidden="1" customHeight="1" outlineLevel="1" x14ac:dyDescent="0.25">
      <c r="A69" s="124"/>
      <c r="B69" s="59">
        <v>5</v>
      </c>
      <c r="C69" s="13" t="s">
        <v>249</v>
      </c>
      <c r="D69" s="13" t="s">
        <v>250</v>
      </c>
      <c r="E69" s="122" t="s">
        <v>10</v>
      </c>
      <c r="F69" s="122">
        <v>645429</v>
      </c>
      <c r="G69" s="122">
        <v>633714</v>
      </c>
      <c r="H69" s="122"/>
      <c r="I69" s="122"/>
      <c r="J69" s="122"/>
      <c r="K69" s="122"/>
      <c r="L69" s="122"/>
      <c r="M69" s="122">
        <v>0</v>
      </c>
      <c r="N69" s="122">
        <f t="shared" si="68"/>
        <v>0</v>
      </c>
      <c r="O69" s="122">
        <v>285171</v>
      </c>
      <c r="P69" s="122">
        <v>1</v>
      </c>
      <c r="Q69" s="26">
        <v>120000</v>
      </c>
      <c r="R69" s="122">
        <v>1</v>
      </c>
      <c r="S69" s="122">
        <f t="shared" si="10"/>
        <v>120000</v>
      </c>
      <c r="T69" s="122"/>
      <c r="U69" s="26">
        <f t="shared" ref="U69:V90" si="72">W69+Y69</f>
        <v>121774</v>
      </c>
      <c r="V69" s="122">
        <f t="shared" si="72"/>
        <v>1</v>
      </c>
      <c r="W69" s="122"/>
      <c r="X69" s="122">
        <f t="shared" ref="X69:X90" si="73">IF(W69,1,0)</f>
        <v>0</v>
      </c>
      <c r="Y69" s="122">
        <f>120000+1774</f>
        <v>121774</v>
      </c>
      <c r="Z69" s="122">
        <f t="shared" ref="Z69:Z90" si="74">IF(Y69,1,0)</f>
        <v>1</v>
      </c>
      <c r="AA69" s="122">
        <v>-121774</v>
      </c>
      <c r="AB69" s="122"/>
      <c r="AC69" s="26">
        <f t="shared" si="14"/>
        <v>0</v>
      </c>
      <c r="AD69" s="122">
        <f t="shared" si="4"/>
        <v>0</v>
      </c>
      <c r="AE69" s="122"/>
      <c r="AF69" s="122">
        <f t="shared" si="66"/>
        <v>0</v>
      </c>
      <c r="AG69" s="122"/>
      <c r="AH69" s="122">
        <f t="shared" si="67"/>
        <v>0</v>
      </c>
      <c r="AI69" s="122">
        <f t="shared" si="69"/>
        <v>0</v>
      </c>
      <c r="AJ69" s="122"/>
      <c r="AK69" s="122">
        <v>1</v>
      </c>
      <c r="AL69" s="122">
        <v>450343</v>
      </c>
      <c r="AM69" s="122">
        <v>1</v>
      </c>
      <c r="AN69" s="122">
        <f t="shared" si="18"/>
        <v>-120000</v>
      </c>
      <c r="AO69" s="122"/>
      <c r="AP69" s="122">
        <f t="shared" si="70"/>
        <v>121774</v>
      </c>
      <c r="AQ69" s="122"/>
      <c r="AR69" s="34">
        <f t="shared" si="20"/>
        <v>570343</v>
      </c>
      <c r="AS69" s="10">
        <f t="shared" si="20"/>
        <v>1</v>
      </c>
      <c r="AT69" s="10"/>
      <c r="AU69" s="10">
        <f t="shared" si="21"/>
        <v>0</v>
      </c>
      <c r="AV69" s="10">
        <f>448569+121774</f>
        <v>570343</v>
      </c>
      <c r="AW69" s="10">
        <f t="shared" si="22"/>
        <v>1</v>
      </c>
      <c r="AX69" s="10">
        <f>AR69/0.9*0.1</f>
        <v>63371.444444444438</v>
      </c>
      <c r="AY69" s="10">
        <v>1</v>
      </c>
      <c r="AZ69" s="10"/>
      <c r="BA69" s="10">
        <v>0</v>
      </c>
      <c r="BB69" s="10">
        <v>0</v>
      </c>
      <c r="BC69" s="10">
        <f t="shared" si="24"/>
        <v>0</v>
      </c>
      <c r="BD69" s="10"/>
      <c r="BE69" s="26">
        <f t="shared" si="25"/>
        <v>0</v>
      </c>
      <c r="BF69" s="122">
        <f t="shared" si="25"/>
        <v>0</v>
      </c>
      <c r="BG69" s="122"/>
      <c r="BH69" s="122">
        <f t="shared" si="26"/>
        <v>0</v>
      </c>
      <c r="BI69" s="122"/>
      <c r="BJ69" s="122">
        <f t="shared" si="27"/>
        <v>0</v>
      </c>
      <c r="BK69" s="122"/>
      <c r="BL69" s="122"/>
      <c r="BM69" s="122"/>
      <c r="BN69" s="13" t="s">
        <v>1365</v>
      </c>
      <c r="BO69" s="122" t="s">
        <v>1560</v>
      </c>
      <c r="BP69" s="122" t="s">
        <v>522</v>
      </c>
      <c r="BQ69" s="122" t="s">
        <v>269</v>
      </c>
      <c r="BR69" s="122" t="s">
        <v>523</v>
      </c>
      <c r="BS69" s="122" t="s">
        <v>397</v>
      </c>
      <c r="BT69" s="55" t="s">
        <v>524</v>
      </c>
    </row>
    <row r="70" spans="1:72" s="3" customFormat="1" ht="49.5" hidden="1" customHeight="1" outlineLevel="1" x14ac:dyDescent="0.25">
      <c r="A70" s="124"/>
      <c r="B70" s="59">
        <v>6</v>
      </c>
      <c r="C70" s="122" t="s">
        <v>252</v>
      </c>
      <c r="D70" s="122" t="s">
        <v>253</v>
      </c>
      <c r="E70" s="122" t="s">
        <v>324</v>
      </c>
      <c r="F70" s="122">
        <v>353711</v>
      </c>
      <c r="G70" s="122">
        <v>339511</v>
      </c>
      <c r="H70" s="122"/>
      <c r="I70" s="122"/>
      <c r="J70" s="122"/>
      <c r="K70" s="122">
        <v>1</v>
      </c>
      <c r="L70" s="122"/>
      <c r="M70" s="122">
        <v>0</v>
      </c>
      <c r="N70" s="122">
        <f t="shared" si="68"/>
        <v>0</v>
      </c>
      <c r="O70" s="122">
        <v>305560</v>
      </c>
      <c r="P70" s="122">
        <v>1</v>
      </c>
      <c r="Q70" s="26">
        <v>305560</v>
      </c>
      <c r="R70" s="122">
        <v>1</v>
      </c>
      <c r="S70" s="122">
        <f t="shared" si="10"/>
        <v>305560</v>
      </c>
      <c r="T70" s="122"/>
      <c r="U70" s="26">
        <f t="shared" si="72"/>
        <v>305560</v>
      </c>
      <c r="V70" s="122">
        <f t="shared" si="72"/>
        <v>1</v>
      </c>
      <c r="W70" s="122"/>
      <c r="X70" s="122">
        <f t="shared" si="73"/>
        <v>0</v>
      </c>
      <c r="Y70" s="122">
        <v>305560</v>
      </c>
      <c r="Z70" s="122">
        <f t="shared" si="74"/>
        <v>1</v>
      </c>
      <c r="AA70" s="122">
        <v>-305560</v>
      </c>
      <c r="AB70" s="122"/>
      <c r="AC70" s="26">
        <f t="shared" si="14"/>
        <v>0</v>
      </c>
      <c r="AD70" s="122">
        <f t="shared" si="4"/>
        <v>0</v>
      </c>
      <c r="AE70" s="122"/>
      <c r="AF70" s="122">
        <f t="shared" si="66"/>
        <v>0</v>
      </c>
      <c r="AG70" s="122"/>
      <c r="AH70" s="122">
        <f t="shared" si="67"/>
        <v>0</v>
      </c>
      <c r="AI70" s="122">
        <f t="shared" si="69"/>
        <v>0</v>
      </c>
      <c r="AJ70" s="122">
        <v>1</v>
      </c>
      <c r="AK70" s="122"/>
      <c r="AL70" s="122">
        <v>0</v>
      </c>
      <c r="AM70" s="122">
        <v>0</v>
      </c>
      <c r="AN70" s="122">
        <f t="shared" si="18"/>
        <v>-270399</v>
      </c>
      <c r="AO70" s="122"/>
      <c r="AP70" s="122">
        <f t="shared" si="70"/>
        <v>305560</v>
      </c>
      <c r="AQ70" s="122"/>
      <c r="AR70" s="34">
        <f t="shared" si="20"/>
        <v>270399</v>
      </c>
      <c r="AS70" s="10">
        <f t="shared" si="20"/>
        <v>1</v>
      </c>
      <c r="AT70" s="10">
        <f>235560+25000+10000-161</f>
        <v>270399</v>
      </c>
      <c r="AU70" s="10">
        <f t="shared" si="21"/>
        <v>1</v>
      </c>
      <c r="AV70" s="10">
        <v>0</v>
      </c>
      <c r="AW70" s="10">
        <f t="shared" si="22"/>
        <v>0</v>
      </c>
      <c r="AX70" s="10"/>
      <c r="AY70" s="10"/>
      <c r="AZ70" s="10"/>
      <c r="BA70" s="10">
        <v>0</v>
      </c>
      <c r="BB70" s="10">
        <v>0</v>
      </c>
      <c r="BC70" s="10">
        <f t="shared" si="24"/>
        <v>0</v>
      </c>
      <c r="BD70" s="10"/>
      <c r="BE70" s="26">
        <f t="shared" si="25"/>
        <v>0</v>
      </c>
      <c r="BF70" s="122">
        <f t="shared" si="25"/>
        <v>0</v>
      </c>
      <c r="BG70" s="122"/>
      <c r="BH70" s="122">
        <f t="shared" si="26"/>
        <v>0</v>
      </c>
      <c r="BI70" s="122"/>
      <c r="BJ70" s="122">
        <f t="shared" si="27"/>
        <v>0</v>
      </c>
      <c r="BK70" s="122"/>
      <c r="BL70" s="122"/>
      <c r="BM70" s="122"/>
      <c r="BN70" s="122" t="s">
        <v>327</v>
      </c>
      <c r="BO70" s="122" t="s">
        <v>1561</v>
      </c>
      <c r="BP70" s="122" t="s">
        <v>330</v>
      </c>
      <c r="BQ70" s="122" t="s">
        <v>328</v>
      </c>
      <c r="BR70" s="122" t="s">
        <v>329</v>
      </c>
      <c r="BS70" s="122" t="s">
        <v>410</v>
      </c>
      <c r="BT70" s="55" t="s">
        <v>525</v>
      </c>
    </row>
    <row r="71" spans="1:72" s="3" customFormat="1" ht="45.75" hidden="1" customHeight="1" outlineLevel="1" x14ac:dyDescent="0.25">
      <c r="A71" s="124"/>
      <c r="B71" s="59">
        <v>7</v>
      </c>
      <c r="C71" s="122" t="s">
        <v>1454</v>
      </c>
      <c r="D71" s="122" t="s">
        <v>331</v>
      </c>
      <c r="E71" s="122">
        <v>2016</v>
      </c>
      <c r="F71" s="122">
        <v>333485</v>
      </c>
      <c r="G71" s="122">
        <v>299095</v>
      </c>
      <c r="H71" s="122"/>
      <c r="I71" s="122"/>
      <c r="J71" s="122"/>
      <c r="K71" s="122"/>
      <c r="L71" s="122"/>
      <c r="M71" s="122">
        <v>0</v>
      </c>
      <c r="N71" s="122">
        <f t="shared" si="68"/>
        <v>0</v>
      </c>
      <c r="O71" s="122">
        <v>269186</v>
      </c>
      <c r="P71" s="122">
        <v>1</v>
      </c>
      <c r="Q71" s="26">
        <v>0</v>
      </c>
      <c r="R71" s="122">
        <v>0</v>
      </c>
      <c r="S71" s="122">
        <f t="shared" si="10"/>
        <v>0</v>
      </c>
      <c r="T71" s="122"/>
      <c r="U71" s="26">
        <f t="shared" si="72"/>
        <v>0</v>
      </c>
      <c r="V71" s="122">
        <f t="shared" si="72"/>
        <v>0</v>
      </c>
      <c r="W71" s="122"/>
      <c r="X71" s="122">
        <f t="shared" si="73"/>
        <v>0</v>
      </c>
      <c r="Y71" s="122"/>
      <c r="Z71" s="122">
        <f t="shared" si="74"/>
        <v>0</v>
      </c>
      <c r="AA71" s="122">
        <v>0</v>
      </c>
      <c r="AB71" s="122"/>
      <c r="AC71" s="26">
        <f t="shared" si="14"/>
        <v>0</v>
      </c>
      <c r="AD71" s="122">
        <f t="shared" si="4"/>
        <v>0</v>
      </c>
      <c r="AE71" s="122"/>
      <c r="AF71" s="122">
        <f t="shared" si="66"/>
        <v>0</v>
      </c>
      <c r="AG71" s="122"/>
      <c r="AH71" s="122">
        <f t="shared" si="67"/>
        <v>0</v>
      </c>
      <c r="AI71" s="122">
        <f t="shared" si="69"/>
        <v>0</v>
      </c>
      <c r="AJ71" s="122"/>
      <c r="AK71" s="122"/>
      <c r="AL71" s="122">
        <v>269186</v>
      </c>
      <c r="AM71" s="122">
        <v>1</v>
      </c>
      <c r="AN71" s="122">
        <f t="shared" si="18"/>
        <v>0</v>
      </c>
      <c r="AO71" s="122"/>
      <c r="AP71" s="122">
        <f t="shared" si="70"/>
        <v>0</v>
      </c>
      <c r="AQ71" s="122"/>
      <c r="AR71" s="34">
        <f t="shared" si="20"/>
        <v>269186</v>
      </c>
      <c r="AS71" s="10">
        <f t="shared" si="20"/>
        <v>1</v>
      </c>
      <c r="AT71" s="10"/>
      <c r="AU71" s="10">
        <f t="shared" si="21"/>
        <v>0</v>
      </c>
      <c r="AV71" s="10">
        <v>269186</v>
      </c>
      <c r="AW71" s="10">
        <f t="shared" si="22"/>
        <v>1</v>
      </c>
      <c r="AX71" s="10">
        <v>29909</v>
      </c>
      <c r="AY71" s="10">
        <v>1</v>
      </c>
      <c r="AZ71" s="10"/>
      <c r="BA71" s="10">
        <v>0</v>
      </c>
      <c r="BB71" s="10">
        <v>0</v>
      </c>
      <c r="BC71" s="10">
        <f t="shared" si="24"/>
        <v>0</v>
      </c>
      <c r="BD71" s="10"/>
      <c r="BE71" s="26">
        <f t="shared" si="25"/>
        <v>0</v>
      </c>
      <c r="BF71" s="122">
        <f t="shared" si="25"/>
        <v>0</v>
      </c>
      <c r="BG71" s="122"/>
      <c r="BH71" s="122">
        <f t="shared" si="26"/>
        <v>0</v>
      </c>
      <c r="BI71" s="122"/>
      <c r="BJ71" s="122">
        <f t="shared" si="27"/>
        <v>0</v>
      </c>
      <c r="BK71" s="122"/>
      <c r="BL71" s="122"/>
      <c r="BM71" s="122"/>
      <c r="BN71" s="122" t="s">
        <v>333</v>
      </c>
      <c r="BO71" s="122" t="s">
        <v>1562</v>
      </c>
      <c r="BP71" s="122" t="s">
        <v>334</v>
      </c>
      <c r="BQ71" s="122" t="s">
        <v>336</v>
      </c>
      <c r="BR71" s="122" t="s">
        <v>1563</v>
      </c>
      <c r="BS71" s="122" t="s">
        <v>335</v>
      </c>
      <c r="BT71" s="55" t="s">
        <v>1130</v>
      </c>
    </row>
    <row r="72" spans="1:72" s="3" customFormat="1" ht="55.5" hidden="1" customHeight="1" outlineLevel="1" x14ac:dyDescent="0.25">
      <c r="A72" s="124"/>
      <c r="B72" s="59">
        <v>8</v>
      </c>
      <c r="C72" s="122" t="s">
        <v>401</v>
      </c>
      <c r="D72" s="122" t="s">
        <v>332</v>
      </c>
      <c r="E72" s="122" t="s">
        <v>1118</v>
      </c>
      <c r="F72" s="122">
        <v>634038</v>
      </c>
      <c r="G72" s="122">
        <v>621445</v>
      </c>
      <c r="H72" s="122"/>
      <c r="I72" s="122"/>
      <c r="J72" s="122"/>
      <c r="K72" s="122"/>
      <c r="L72" s="122"/>
      <c r="M72" s="122"/>
      <c r="N72" s="122">
        <f t="shared" si="68"/>
        <v>0</v>
      </c>
      <c r="O72" s="122">
        <v>279650</v>
      </c>
      <c r="P72" s="122">
        <v>1</v>
      </c>
      <c r="Q72" s="26">
        <v>0</v>
      </c>
      <c r="R72" s="122">
        <v>0</v>
      </c>
      <c r="S72" s="122">
        <f t="shared" si="10"/>
        <v>0</v>
      </c>
      <c r="T72" s="122"/>
      <c r="U72" s="26">
        <f t="shared" si="72"/>
        <v>0</v>
      </c>
      <c r="V72" s="122">
        <f t="shared" si="72"/>
        <v>0</v>
      </c>
      <c r="W72" s="122"/>
      <c r="X72" s="122">
        <f t="shared" si="73"/>
        <v>0</v>
      </c>
      <c r="Y72" s="122">
        <v>0</v>
      </c>
      <c r="Z72" s="122">
        <f t="shared" si="74"/>
        <v>0</v>
      </c>
      <c r="AA72" s="122">
        <v>0</v>
      </c>
      <c r="AB72" s="122"/>
      <c r="AC72" s="26">
        <f t="shared" si="14"/>
        <v>0</v>
      </c>
      <c r="AD72" s="122">
        <f t="shared" si="4"/>
        <v>0</v>
      </c>
      <c r="AE72" s="122"/>
      <c r="AF72" s="122">
        <f t="shared" si="66"/>
        <v>0</v>
      </c>
      <c r="AG72" s="122">
        <v>0</v>
      </c>
      <c r="AH72" s="122">
        <f t="shared" si="67"/>
        <v>0</v>
      </c>
      <c r="AI72" s="122">
        <f t="shared" si="69"/>
        <v>0</v>
      </c>
      <c r="AJ72" s="122"/>
      <c r="AK72" s="122"/>
      <c r="AL72" s="122">
        <v>160000</v>
      </c>
      <c r="AM72" s="122">
        <v>1</v>
      </c>
      <c r="AN72" s="122">
        <f t="shared" si="18"/>
        <v>0</v>
      </c>
      <c r="AO72" s="122"/>
      <c r="AP72" s="122">
        <f t="shared" si="70"/>
        <v>0</v>
      </c>
      <c r="AQ72" s="122"/>
      <c r="AR72" s="34">
        <f t="shared" si="20"/>
        <v>160000</v>
      </c>
      <c r="AS72" s="10">
        <f t="shared" si="20"/>
        <v>1</v>
      </c>
      <c r="AT72" s="10"/>
      <c r="AU72" s="10">
        <f t="shared" si="21"/>
        <v>0</v>
      </c>
      <c r="AV72" s="10">
        <v>160000</v>
      </c>
      <c r="AW72" s="10">
        <f t="shared" si="22"/>
        <v>1</v>
      </c>
      <c r="AX72" s="10">
        <f>AV72/0.9*0.1</f>
        <v>17777.777777777777</v>
      </c>
      <c r="AY72" s="10"/>
      <c r="AZ72" s="10">
        <v>1</v>
      </c>
      <c r="BA72" s="10">
        <v>399301</v>
      </c>
      <c r="BB72" s="10">
        <v>1</v>
      </c>
      <c r="BC72" s="10">
        <f t="shared" si="24"/>
        <v>0</v>
      </c>
      <c r="BD72" s="10"/>
      <c r="BE72" s="26">
        <f t="shared" si="25"/>
        <v>399301</v>
      </c>
      <c r="BF72" s="122">
        <f t="shared" si="25"/>
        <v>1</v>
      </c>
      <c r="BG72" s="122">
        <v>399301</v>
      </c>
      <c r="BH72" s="122">
        <f t="shared" si="26"/>
        <v>1</v>
      </c>
      <c r="BI72" s="122"/>
      <c r="BJ72" s="122">
        <f t="shared" si="27"/>
        <v>0</v>
      </c>
      <c r="BK72" s="122">
        <f>BG72/0.9*0.1</f>
        <v>44366.777777777781</v>
      </c>
      <c r="BL72" s="122">
        <v>1</v>
      </c>
      <c r="BM72" s="122"/>
      <c r="BN72" s="122" t="s">
        <v>402</v>
      </c>
      <c r="BO72" s="122" t="s">
        <v>1513</v>
      </c>
      <c r="BP72" s="122" t="s">
        <v>404</v>
      </c>
      <c r="BQ72" s="122" t="s">
        <v>266</v>
      </c>
      <c r="BR72" s="122" t="s">
        <v>266</v>
      </c>
      <c r="BS72" s="122" t="s">
        <v>405</v>
      </c>
      <c r="BT72" s="55" t="s">
        <v>1134</v>
      </c>
    </row>
    <row r="73" spans="1:72" s="3" customFormat="1" ht="51" hidden="1" customHeight="1" outlineLevel="1" x14ac:dyDescent="0.25">
      <c r="A73" s="124"/>
      <c r="B73" s="59">
        <v>9</v>
      </c>
      <c r="C73" s="122" t="s">
        <v>254</v>
      </c>
      <c r="D73" s="122" t="s">
        <v>255</v>
      </c>
      <c r="E73" s="122">
        <v>2015</v>
      </c>
      <c r="F73" s="122">
        <v>270613</v>
      </c>
      <c r="G73" s="122">
        <v>259109</v>
      </c>
      <c r="H73" s="122"/>
      <c r="I73" s="122"/>
      <c r="J73" s="122"/>
      <c r="K73" s="122"/>
      <c r="L73" s="122"/>
      <c r="M73" s="122">
        <v>0</v>
      </c>
      <c r="N73" s="122">
        <f t="shared" si="68"/>
        <v>0</v>
      </c>
      <c r="O73" s="122">
        <v>116599</v>
      </c>
      <c r="P73" s="122">
        <v>1</v>
      </c>
      <c r="Q73" s="26">
        <v>233198</v>
      </c>
      <c r="R73" s="122">
        <v>1</v>
      </c>
      <c r="S73" s="122">
        <f t="shared" si="10"/>
        <v>233198</v>
      </c>
      <c r="T73" s="122"/>
      <c r="U73" s="26">
        <f t="shared" si="72"/>
        <v>233198</v>
      </c>
      <c r="V73" s="122">
        <f t="shared" si="72"/>
        <v>1</v>
      </c>
      <c r="W73" s="122"/>
      <c r="X73" s="122">
        <f t="shared" si="73"/>
        <v>0</v>
      </c>
      <c r="Y73" s="122">
        <v>233198</v>
      </c>
      <c r="Z73" s="122">
        <f t="shared" si="74"/>
        <v>1</v>
      </c>
      <c r="AA73" s="122">
        <v>-233198</v>
      </c>
      <c r="AB73" s="122"/>
      <c r="AC73" s="26">
        <f t="shared" si="14"/>
        <v>0</v>
      </c>
      <c r="AD73" s="122">
        <f t="shared" si="4"/>
        <v>0</v>
      </c>
      <c r="AE73" s="122"/>
      <c r="AF73" s="122">
        <f t="shared" si="66"/>
        <v>0</v>
      </c>
      <c r="AG73" s="122"/>
      <c r="AH73" s="122">
        <f t="shared" si="67"/>
        <v>0</v>
      </c>
      <c r="AI73" s="122">
        <f t="shared" si="69"/>
        <v>0</v>
      </c>
      <c r="AJ73" s="122">
        <v>1</v>
      </c>
      <c r="AK73" s="122"/>
      <c r="AL73" s="122">
        <v>0</v>
      </c>
      <c r="AM73" s="122">
        <v>0</v>
      </c>
      <c r="AN73" s="122">
        <f t="shared" si="18"/>
        <v>-233198</v>
      </c>
      <c r="AO73" s="122"/>
      <c r="AP73" s="122">
        <f t="shared" si="70"/>
        <v>233198</v>
      </c>
      <c r="AQ73" s="122"/>
      <c r="AR73" s="34">
        <f t="shared" si="20"/>
        <v>233198</v>
      </c>
      <c r="AS73" s="10">
        <f t="shared" si="20"/>
        <v>1</v>
      </c>
      <c r="AT73" s="10"/>
      <c r="AU73" s="10">
        <f t="shared" si="21"/>
        <v>0</v>
      </c>
      <c r="AV73" s="10">
        <f>233198</f>
        <v>233198</v>
      </c>
      <c r="AW73" s="10">
        <f t="shared" si="22"/>
        <v>1</v>
      </c>
      <c r="AX73" s="10">
        <f>AR73/0.9*0.1</f>
        <v>25910.888888888891</v>
      </c>
      <c r="AY73" s="10"/>
      <c r="AZ73" s="10"/>
      <c r="BA73" s="10">
        <v>0</v>
      </c>
      <c r="BB73" s="10">
        <v>0</v>
      </c>
      <c r="BC73" s="10">
        <f t="shared" si="24"/>
        <v>0</v>
      </c>
      <c r="BD73" s="10"/>
      <c r="BE73" s="26">
        <f t="shared" si="25"/>
        <v>0</v>
      </c>
      <c r="BF73" s="122">
        <f t="shared" si="25"/>
        <v>0</v>
      </c>
      <c r="BG73" s="122"/>
      <c r="BH73" s="122">
        <f t="shared" si="26"/>
        <v>0</v>
      </c>
      <c r="BI73" s="122"/>
      <c r="BJ73" s="122">
        <f t="shared" si="27"/>
        <v>0</v>
      </c>
      <c r="BK73" s="122"/>
      <c r="BL73" s="122"/>
      <c r="BM73" s="122"/>
      <c r="BN73" s="122" t="s">
        <v>276</v>
      </c>
      <c r="BO73" s="122" t="s">
        <v>926</v>
      </c>
      <c r="BP73" s="122" t="s">
        <v>277</v>
      </c>
      <c r="BQ73" s="122" t="s">
        <v>278</v>
      </c>
      <c r="BR73" s="122" t="s">
        <v>279</v>
      </c>
      <c r="BS73" s="122" t="s">
        <v>275</v>
      </c>
      <c r="BT73" s="55" t="s">
        <v>925</v>
      </c>
    </row>
    <row r="74" spans="1:72" s="3" customFormat="1" ht="44.25" hidden="1" customHeight="1" outlineLevel="1" x14ac:dyDescent="0.25">
      <c r="A74" s="124"/>
      <c r="B74" s="59">
        <v>10</v>
      </c>
      <c r="C74" s="122" t="s">
        <v>256</v>
      </c>
      <c r="D74" s="122" t="s">
        <v>257</v>
      </c>
      <c r="E74" s="122">
        <v>2016</v>
      </c>
      <c r="F74" s="122">
        <v>226731</v>
      </c>
      <c r="G74" s="122">
        <v>238312</v>
      </c>
      <c r="H74" s="122"/>
      <c r="I74" s="122"/>
      <c r="J74" s="122"/>
      <c r="K74" s="122"/>
      <c r="L74" s="122"/>
      <c r="M74" s="122">
        <v>0</v>
      </c>
      <c r="N74" s="122">
        <f t="shared" si="68"/>
        <v>0</v>
      </c>
      <c r="O74" s="122">
        <v>214481</v>
      </c>
      <c r="P74" s="122">
        <v>1</v>
      </c>
      <c r="Q74" s="26">
        <v>0</v>
      </c>
      <c r="R74" s="122">
        <v>0</v>
      </c>
      <c r="S74" s="122">
        <f t="shared" si="10"/>
        <v>0</v>
      </c>
      <c r="T74" s="122"/>
      <c r="U74" s="26">
        <v>0</v>
      </c>
      <c r="V74" s="122">
        <f t="shared" si="72"/>
        <v>0</v>
      </c>
      <c r="W74" s="122"/>
      <c r="X74" s="122">
        <f t="shared" si="73"/>
        <v>0</v>
      </c>
      <c r="Y74" s="122"/>
      <c r="Z74" s="122">
        <f t="shared" si="74"/>
        <v>0</v>
      </c>
      <c r="AA74" s="122">
        <v>0</v>
      </c>
      <c r="AB74" s="122"/>
      <c r="AC74" s="26">
        <v>0</v>
      </c>
      <c r="AD74" s="122">
        <f t="shared" si="4"/>
        <v>0</v>
      </c>
      <c r="AE74" s="122"/>
      <c r="AF74" s="122">
        <f t="shared" si="66"/>
        <v>0</v>
      </c>
      <c r="AG74" s="122"/>
      <c r="AH74" s="122">
        <f t="shared" si="67"/>
        <v>0</v>
      </c>
      <c r="AI74" s="122">
        <f t="shared" si="69"/>
        <v>0</v>
      </c>
      <c r="AJ74" s="122"/>
      <c r="AK74" s="122"/>
      <c r="AL74" s="122">
        <v>214481</v>
      </c>
      <c r="AM74" s="122">
        <v>1</v>
      </c>
      <c r="AN74" s="122">
        <f t="shared" si="18"/>
        <v>0</v>
      </c>
      <c r="AO74" s="122"/>
      <c r="AP74" s="122">
        <f t="shared" si="70"/>
        <v>0</v>
      </c>
      <c r="AQ74" s="122"/>
      <c r="AR74" s="34">
        <f t="shared" si="20"/>
        <v>214481</v>
      </c>
      <c r="AS74" s="10">
        <f t="shared" si="20"/>
        <v>1</v>
      </c>
      <c r="AT74" s="10"/>
      <c r="AU74" s="10">
        <f t="shared" si="21"/>
        <v>0</v>
      </c>
      <c r="AV74" s="10">
        <v>214481</v>
      </c>
      <c r="AW74" s="10">
        <f t="shared" si="22"/>
        <v>1</v>
      </c>
      <c r="AX74" s="10">
        <f>AV74/0.9*0.1</f>
        <v>23831.222222222223</v>
      </c>
      <c r="AY74" s="10">
        <v>1</v>
      </c>
      <c r="AZ74" s="10"/>
      <c r="BA74" s="10">
        <v>0</v>
      </c>
      <c r="BB74" s="10">
        <v>0</v>
      </c>
      <c r="BC74" s="10">
        <f t="shared" si="24"/>
        <v>0</v>
      </c>
      <c r="BD74" s="10"/>
      <c r="BE74" s="26">
        <f t="shared" si="25"/>
        <v>0</v>
      </c>
      <c r="BF74" s="122">
        <f t="shared" si="25"/>
        <v>0</v>
      </c>
      <c r="BG74" s="122"/>
      <c r="BH74" s="122">
        <f t="shared" si="26"/>
        <v>0</v>
      </c>
      <c r="BI74" s="122"/>
      <c r="BJ74" s="122">
        <f t="shared" si="27"/>
        <v>0</v>
      </c>
      <c r="BK74" s="122"/>
      <c r="BL74" s="122"/>
      <c r="BM74" s="122"/>
      <c r="BN74" s="122" t="s">
        <v>393</v>
      </c>
      <c r="BO74" s="122" t="s">
        <v>266</v>
      </c>
      <c r="BP74" s="122" t="s">
        <v>394</v>
      </c>
      <c r="BQ74" s="122" t="s">
        <v>396</v>
      </c>
      <c r="BR74" s="122" t="s">
        <v>395</v>
      </c>
      <c r="BS74" s="122" t="s">
        <v>397</v>
      </c>
      <c r="BT74" s="55" t="s">
        <v>526</v>
      </c>
    </row>
    <row r="75" spans="1:72" s="3" customFormat="1" ht="52.5" hidden="1" customHeight="1" outlineLevel="1" x14ac:dyDescent="0.25">
      <c r="A75" s="124"/>
      <c r="B75" s="59">
        <v>11</v>
      </c>
      <c r="C75" s="122" t="s">
        <v>1455</v>
      </c>
      <c r="D75" s="122" t="s">
        <v>502</v>
      </c>
      <c r="E75" s="122">
        <v>2015</v>
      </c>
      <c r="F75" s="122">
        <v>259349.77</v>
      </c>
      <c r="G75" s="122">
        <v>242250</v>
      </c>
      <c r="H75" s="122"/>
      <c r="I75" s="122"/>
      <c r="J75" s="122"/>
      <c r="K75" s="122"/>
      <c r="L75" s="122"/>
      <c r="M75" s="122"/>
      <c r="N75" s="122">
        <f t="shared" si="68"/>
        <v>0</v>
      </c>
      <c r="O75" s="122">
        <v>218025</v>
      </c>
      <c r="P75" s="122">
        <v>1</v>
      </c>
      <c r="Q75" s="26">
        <v>218025</v>
      </c>
      <c r="R75" s="122">
        <v>1</v>
      </c>
      <c r="S75" s="122">
        <f t="shared" si="10"/>
        <v>218025</v>
      </c>
      <c r="T75" s="122"/>
      <c r="U75" s="26">
        <f t="shared" si="72"/>
        <v>218025</v>
      </c>
      <c r="V75" s="122">
        <f t="shared" si="72"/>
        <v>1</v>
      </c>
      <c r="W75" s="122"/>
      <c r="X75" s="122">
        <f t="shared" si="73"/>
        <v>0</v>
      </c>
      <c r="Y75" s="122">
        <v>218025</v>
      </c>
      <c r="Z75" s="122">
        <f t="shared" si="74"/>
        <v>1</v>
      </c>
      <c r="AA75" s="122">
        <v>-218025</v>
      </c>
      <c r="AB75" s="122"/>
      <c r="AC75" s="26">
        <f t="shared" si="14"/>
        <v>0</v>
      </c>
      <c r="AD75" s="122">
        <f t="shared" si="4"/>
        <v>0</v>
      </c>
      <c r="AE75" s="122"/>
      <c r="AF75" s="122">
        <f t="shared" si="66"/>
        <v>0</v>
      </c>
      <c r="AG75" s="122"/>
      <c r="AH75" s="122">
        <f t="shared" si="67"/>
        <v>0</v>
      </c>
      <c r="AI75" s="122">
        <f t="shared" si="69"/>
        <v>0</v>
      </c>
      <c r="AJ75" s="122">
        <v>1</v>
      </c>
      <c r="AK75" s="122"/>
      <c r="AL75" s="122">
        <v>0</v>
      </c>
      <c r="AM75" s="122">
        <v>0</v>
      </c>
      <c r="AN75" s="122">
        <f t="shared" si="18"/>
        <v>-218025</v>
      </c>
      <c r="AO75" s="122"/>
      <c r="AP75" s="122">
        <f t="shared" si="70"/>
        <v>218025</v>
      </c>
      <c r="AQ75" s="122"/>
      <c r="AR75" s="34">
        <f t="shared" si="20"/>
        <v>218025</v>
      </c>
      <c r="AS75" s="10">
        <f t="shared" si="20"/>
        <v>1</v>
      </c>
      <c r="AT75" s="10"/>
      <c r="AU75" s="10">
        <f t="shared" si="21"/>
        <v>0</v>
      </c>
      <c r="AV75" s="10">
        <f>218025</f>
        <v>218025</v>
      </c>
      <c r="AW75" s="10">
        <f t="shared" si="22"/>
        <v>1</v>
      </c>
      <c r="AX75" s="10">
        <f>AV75/0.9*0.1</f>
        <v>24225</v>
      </c>
      <c r="AY75" s="10"/>
      <c r="AZ75" s="10"/>
      <c r="BA75" s="10">
        <v>0</v>
      </c>
      <c r="BB75" s="10">
        <v>0</v>
      </c>
      <c r="BC75" s="10">
        <f t="shared" si="24"/>
        <v>0</v>
      </c>
      <c r="BD75" s="10"/>
      <c r="BE75" s="26">
        <f t="shared" si="25"/>
        <v>0</v>
      </c>
      <c r="BF75" s="122">
        <f t="shared" si="25"/>
        <v>0</v>
      </c>
      <c r="BG75" s="122"/>
      <c r="BH75" s="122">
        <f t="shared" si="26"/>
        <v>0</v>
      </c>
      <c r="BI75" s="122"/>
      <c r="BJ75" s="122">
        <f t="shared" si="27"/>
        <v>0</v>
      </c>
      <c r="BK75" s="122"/>
      <c r="BL75" s="122"/>
      <c r="BM75" s="122"/>
      <c r="BN75" s="122" t="s">
        <v>503</v>
      </c>
      <c r="BO75" s="122" t="s">
        <v>1564</v>
      </c>
      <c r="BP75" s="122" t="s">
        <v>504</v>
      </c>
      <c r="BQ75" s="122" t="s">
        <v>1366</v>
      </c>
      <c r="BR75" s="122" t="s">
        <v>505</v>
      </c>
      <c r="BS75" s="122" t="s">
        <v>410</v>
      </c>
      <c r="BT75" s="55" t="s">
        <v>527</v>
      </c>
    </row>
    <row r="76" spans="1:72" s="3" customFormat="1" ht="43.5" hidden="1" customHeight="1" outlineLevel="1" x14ac:dyDescent="0.25">
      <c r="A76" s="124"/>
      <c r="B76" s="59">
        <v>12</v>
      </c>
      <c r="C76" s="122" t="s">
        <v>406</v>
      </c>
      <c r="D76" s="122" t="s">
        <v>407</v>
      </c>
      <c r="E76" s="122" t="s">
        <v>1118</v>
      </c>
      <c r="F76" s="122">
        <v>289378.90000000002</v>
      </c>
      <c r="G76" s="122">
        <v>272279</v>
      </c>
      <c r="H76" s="122"/>
      <c r="I76" s="122"/>
      <c r="J76" s="122"/>
      <c r="K76" s="122"/>
      <c r="L76" s="122"/>
      <c r="M76" s="122"/>
      <c r="N76" s="122">
        <f t="shared" si="68"/>
        <v>0</v>
      </c>
      <c r="O76" s="122">
        <v>245051</v>
      </c>
      <c r="P76" s="122">
        <v>1</v>
      </c>
      <c r="Q76" s="26">
        <v>0</v>
      </c>
      <c r="R76" s="122">
        <v>0</v>
      </c>
      <c r="S76" s="122">
        <f t="shared" si="10"/>
        <v>0</v>
      </c>
      <c r="T76" s="122"/>
      <c r="U76" s="26">
        <f>Y76</f>
        <v>0</v>
      </c>
      <c r="V76" s="122">
        <f t="shared" si="72"/>
        <v>0</v>
      </c>
      <c r="W76" s="122"/>
      <c r="X76" s="122">
        <f t="shared" si="73"/>
        <v>0</v>
      </c>
      <c r="Y76" s="122">
        <v>0</v>
      </c>
      <c r="Z76" s="122">
        <f t="shared" si="74"/>
        <v>0</v>
      </c>
      <c r="AA76" s="122">
        <v>0</v>
      </c>
      <c r="AB76" s="122"/>
      <c r="AC76" s="26">
        <f>AG76</f>
        <v>0</v>
      </c>
      <c r="AD76" s="122">
        <f t="shared" si="4"/>
        <v>0</v>
      </c>
      <c r="AE76" s="122"/>
      <c r="AF76" s="122">
        <f t="shared" si="66"/>
        <v>0</v>
      </c>
      <c r="AG76" s="122">
        <v>0</v>
      </c>
      <c r="AH76" s="122">
        <f t="shared" si="67"/>
        <v>0</v>
      </c>
      <c r="AI76" s="122">
        <f t="shared" si="69"/>
        <v>0</v>
      </c>
      <c r="AJ76" s="122"/>
      <c r="AK76" s="122"/>
      <c r="AL76" s="122">
        <v>164623</v>
      </c>
      <c r="AM76" s="122">
        <v>1</v>
      </c>
      <c r="AN76" s="122">
        <f t="shared" si="18"/>
        <v>0</v>
      </c>
      <c r="AO76" s="122"/>
      <c r="AP76" s="122">
        <f t="shared" si="70"/>
        <v>0</v>
      </c>
      <c r="AQ76" s="122"/>
      <c r="AR76" s="34">
        <f t="shared" si="20"/>
        <v>164623</v>
      </c>
      <c r="AS76" s="10">
        <f t="shared" si="20"/>
        <v>1</v>
      </c>
      <c r="AT76" s="10"/>
      <c r="AU76" s="10">
        <f t="shared" si="21"/>
        <v>0</v>
      </c>
      <c r="AV76" s="10">
        <v>164623</v>
      </c>
      <c r="AW76" s="10">
        <f t="shared" si="22"/>
        <v>1</v>
      </c>
      <c r="AX76" s="10">
        <f>AV76/0.9*0.1</f>
        <v>18291.444444444445</v>
      </c>
      <c r="AY76" s="10"/>
      <c r="AZ76" s="10">
        <v>1</v>
      </c>
      <c r="BA76" s="10">
        <v>80428</v>
      </c>
      <c r="BB76" s="10">
        <v>1</v>
      </c>
      <c r="BC76" s="10">
        <f t="shared" si="24"/>
        <v>0</v>
      </c>
      <c r="BD76" s="10"/>
      <c r="BE76" s="26">
        <f t="shared" si="25"/>
        <v>80428</v>
      </c>
      <c r="BF76" s="122">
        <f t="shared" si="25"/>
        <v>1</v>
      </c>
      <c r="BG76" s="122">
        <v>80428</v>
      </c>
      <c r="BH76" s="122">
        <f t="shared" si="26"/>
        <v>1</v>
      </c>
      <c r="BI76" s="122"/>
      <c r="BJ76" s="122">
        <f t="shared" si="27"/>
        <v>0</v>
      </c>
      <c r="BK76" s="122">
        <f>BG76/0.9*0.1</f>
        <v>8936.4444444444434</v>
      </c>
      <c r="BL76" s="122">
        <v>1</v>
      </c>
      <c r="BM76" s="122"/>
      <c r="BN76" s="122" t="s">
        <v>408</v>
      </c>
      <c r="BO76" s="122" t="s">
        <v>1513</v>
      </c>
      <c r="BP76" s="122" t="s">
        <v>409</v>
      </c>
      <c r="BQ76" s="122" t="s">
        <v>1230</v>
      </c>
      <c r="BR76" s="122" t="s">
        <v>411</v>
      </c>
      <c r="BS76" s="122" t="s">
        <v>410</v>
      </c>
      <c r="BT76" s="55" t="s">
        <v>1141</v>
      </c>
    </row>
    <row r="77" spans="1:72" s="3" customFormat="1" ht="44.25" hidden="1" customHeight="1" outlineLevel="1" x14ac:dyDescent="0.25">
      <c r="A77" s="124"/>
      <c r="B77" s="59">
        <v>13</v>
      </c>
      <c r="C77" s="122" t="s">
        <v>412</v>
      </c>
      <c r="D77" s="122" t="s">
        <v>413</v>
      </c>
      <c r="E77" s="122" t="s">
        <v>1118</v>
      </c>
      <c r="F77" s="122">
        <v>709026.7</v>
      </c>
      <c r="G77" s="122">
        <v>688567</v>
      </c>
      <c r="H77" s="122"/>
      <c r="I77" s="122"/>
      <c r="J77" s="122"/>
      <c r="K77" s="122"/>
      <c r="L77" s="122"/>
      <c r="M77" s="122"/>
      <c r="N77" s="122">
        <f t="shared" si="68"/>
        <v>0</v>
      </c>
      <c r="O77" s="122">
        <v>309855</v>
      </c>
      <c r="P77" s="122">
        <v>1</v>
      </c>
      <c r="Q77" s="26">
        <v>0</v>
      </c>
      <c r="R77" s="122">
        <v>0</v>
      </c>
      <c r="S77" s="122">
        <f t="shared" si="10"/>
        <v>0</v>
      </c>
      <c r="T77" s="122"/>
      <c r="U77" s="26">
        <f t="shared" si="72"/>
        <v>0</v>
      </c>
      <c r="V77" s="122">
        <f t="shared" si="72"/>
        <v>0</v>
      </c>
      <c r="W77" s="122"/>
      <c r="X77" s="122">
        <f t="shared" si="73"/>
        <v>0</v>
      </c>
      <c r="Y77" s="122">
        <v>0</v>
      </c>
      <c r="Z77" s="122">
        <f t="shared" si="74"/>
        <v>0</v>
      </c>
      <c r="AA77" s="122">
        <v>0</v>
      </c>
      <c r="AB77" s="122"/>
      <c r="AC77" s="26">
        <f t="shared" si="14"/>
        <v>0</v>
      </c>
      <c r="AD77" s="122">
        <f t="shared" si="4"/>
        <v>0</v>
      </c>
      <c r="AE77" s="122"/>
      <c r="AF77" s="122">
        <f t="shared" si="66"/>
        <v>0</v>
      </c>
      <c r="AG77" s="122">
        <v>0</v>
      </c>
      <c r="AH77" s="122">
        <f t="shared" si="67"/>
        <v>0</v>
      </c>
      <c r="AI77" s="122">
        <f t="shared" si="69"/>
        <v>0</v>
      </c>
      <c r="AJ77" s="122"/>
      <c r="AK77" s="122"/>
      <c r="AL77" s="122">
        <v>170000</v>
      </c>
      <c r="AM77" s="122">
        <v>1</v>
      </c>
      <c r="AN77" s="122">
        <f t="shared" si="18"/>
        <v>0</v>
      </c>
      <c r="AO77" s="122"/>
      <c r="AP77" s="122">
        <f t="shared" si="70"/>
        <v>0</v>
      </c>
      <c r="AQ77" s="122"/>
      <c r="AR77" s="34">
        <f t="shared" si="20"/>
        <v>170000</v>
      </c>
      <c r="AS77" s="10">
        <f t="shared" si="20"/>
        <v>1</v>
      </c>
      <c r="AT77" s="10"/>
      <c r="AU77" s="10">
        <f t="shared" si="21"/>
        <v>0</v>
      </c>
      <c r="AV77" s="10">
        <v>170000</v>
      </c>
      <c r="AW77" s="10">
        <f t="shared" si="22"/>
        <v>1</v>
      </c>
      <c r="AX77" s="10">
        <f>AR77/0.9*0.1</f>
        <v>18888.888888888887</v>
      </c>
      <c r="AY77" s="10"/>
      <c r="AZ77" s="10">
        <v>1</v>
      </c>
      <c r="BA77" s="10">
        <v>449710</v>
      </c>
      <c r="BB77" s="10">
        <v>1</v>
      </c>
      <c r="BC77" s="10">
        <f t="shared" si="24"/>
        <v>0</v>
      </c>
      <c r="BD77" s="10"/>
      <c r="BE77" s="26">
        <f t="shared" si="25"/>
        <v>449710</v>
      </c>
      <c r="BF77" s="122">
        <f t="shared" si="25"/>
        <v>1</v>
      </c>
      <c r="BG77" s="122">
        <v>449710</v>
      </c>
      <c r="BH77" s="122">
        <f t="shared" si="26"/>
        <v>1</v>
      </c>
      <c r="BI77" s="122"/>
      <c r="BJ77" s="122">
        <f t="shared" si="27"/>
        <v>0</v>
      </c>
      <c r="BK77" s="122">
        <f>BE77/0.9*0.1</f>
        <v>49967.777777777781</v>
      </c>
      <c r="BL77" s="122">
        <v>1</v>
      </c>
      <c r="BM77" s="122"/>
      <c r="BN77" s="122" t="s">
        <v>414</v>
      </c>
      <c r="BO77" s="122" t="s">
        <v>1709</v>
      </c>
      <c r="BP77" s="122" t="s">
        <v>415</v>
      </c>
      <c r="BQ77" s="122" t="s">
        <v>416</v>
      </c>
      <c r="BR77" s="122" t="s">
        <v>417</v>
      </c>
      <c r="BS77" s="122" t="s">
        <v>405</v>
      </c>
      <c r="BT77" s="55" t="s">
        <v>266</v>
      </c>
    </row>
    <row r="78" spans="1:72" s="3" customFormat="1" ht="53.25" hidden="1" customHeight="1" outlineLevel="1" x14ac:dyDescent="0.25">
      <c r="A78" s="124"/>
      <c r="B78" s="59">
        <v>14</v>
      </c>
      <c r="C78" s="122" t="s">
        <v>1456</v>
      </c>
      <c r="D78" s="122" t="s">
        <v>418</v>
      </c>
      <c r="E78" s="122">
        <v>2016</v>
      </c>
      <c r="F78" s="122">
        <v>440853</v>
      </c>
      <c r="G78" s="122">
        <v>437914</v>
      </c>
      <c r="H78" s="122"/>
      <c r="I78" s="122"/>
      <c r="J78" s="122"/>
      <c r="K78" s="122"/>
      <c r="L78" s="122"/>
      <c r="M78" s="122">
        <f>AG78+AI78</f>
        <v>0</v>
      </c>
      <c r="N78" s="122">
        <f t="shared" si="68"/>
        <v>0</v>
      </c>
      <c r="O78" s="122">
        <v>394123</v>
      </c>
      <c r="P78" s="122">
        <v>1</v>
      </c>
      <c r="Q78" s="26">
        <v>0</v>
      </c>
      <c r="R78" s="122">
        <v>0</v>
      </c>
      <c r="S78" s="122">
        <f t="shared" si="10"/>
        <v>0</v>
      </c>
      <c r="T78" s="122"/>
      <c r="U78" s="26">
        <f t="shared" si="72"/>
        <v>0</v>
      </c>
      <c r="V78" s="122">
        <f t="shared" si="72"/>
        <v>0</v>
      </c>
      <c r="W78" s="122"/>
      <c r="X78" s="122">
        <f t="shared" si="73"/>
        <v>0</v>
      </c>
      <c r="Y78" s="122"/>
      <c r="Z78" s="122">
        <f t="shared" si="74"/>
        <v>0</v>
      </c>
      <c r="AA78" s="122">
        <v>0</v>
      </c>
      <c r="AB78" s="122"/>
      <c r="AC78" s="26">
        <f t="shared" si="14"/>
        <v>0</v>
      </c>
      <c r="AD78" s="122">
        <f t="shared" si="4"/>
        <v>0</v>
      </c>
      <c r="AE78" s="122"/>
      <c r="AF78" s="122">
        <f t="shared" si="66"/>
        <v>0</v>
      </c>
      <c r="AG78" s="122"/>
      <c r="AH78" s="122">
        <f t="shared" si="67"/>
        <v>0</v>
      </c>
      <c r="AI78" s="122">
        <f t="shared" si="69"/>
        <v>0</v>
      </c>
      <c r="AJ78" s="122"/>
      <c r="AK78" s="122"/>
      <c r="AL78" s="122">
        <v>394123</v>
      </c>
      <c r="AM78" s="122">
        <v>1</v>
      </c>
      <c r="AN78" s="122">
        <f t="shared" si="18"/>
        <v>0</v>
      </c>
      <c r="AO78" s="122"/>
      <c r="AP78" s="122">
        <f t="shared" si="70"/>
        <v>0</v>
      </c>
      <c r="AQ78" s="122"/>
      <c r="AR78" s="34">
        <f t="shared" si="20"/>
        <v>394123</v>
      </c>
      <c r="AS78" s="10">
        <f t="shared" si="20"/>
        <v>1</v>
      </c>
      <c r="AT78" s="10"/>
      <c r="AU78" s="10">
        <f t="shared" si="21"/>
        <v>0</v>
      </c>
      <c r="AV78" s="10">
        <v>394123</v>
      </c>
      <c r="AW78" s="10">
        <f t="shared" si="22"/>
        <v>1</v>
      </c>
      <c r="AX78" s="10">
        <f>AV78/0.9*0.1</f>
        <v>43791.444444444445</v>
      </c>
      <c r="AY78" s="10">
        <v>1</v>
      </c>
      <c r="AZ78" s="10"/>
      <c r="BA78" s="10">
        <v>0</v>
      </c>
      <c r="BB78" s="10">
        <v>0</v>
      </c>
      <c r="BC78" s="10">
        <f t="shared" si="24"/>
        <v>0</v>
      </c>
      <c r="BD78" s="10"/>
      <c r="BE78" s="26">
        <f t="shared" si="25"/>
        <v>0</v>
      </c>
      <c r="BF78" s="122">
        <f t="shared" si="25"/>
        <v>0</v>
      </c>
      <c r="BG78" s="122"/>
      <c r="BH78" s="122">
        <f t="shared" si="26"/>
        <v>0</v>
      </c>
      <c r="BI78" s="122"/>
      <c r="BJ78" s="122">
        <f t="shared" si="27"/>
        <v>0</v>
      </c>
      <c r="BK78" s="122"/>
      <c r="BL78" s="122"/>
      <c r="BM78" s="122"/>
      <c r="BN78" s="122" t="s">
        <v>419</v>
      </c>
      <c r="BO78" s="122" t="s">
        <v>1565</v>
      </c>
      <c r="BP78" s="122" t="s">
        <v>420</v>
      </c>
      <c r="BQ78" s="122" t="s">
        <v>422</v>
      </c>
      <c r="BR78" s="122" t="s">
        <v>421</v>
      </c>
      <c r="BS78" s="122" t="s">
        <v>11</v>
      </c>
      <c r="BT78" s="55" t="s">
        <v>1132</v>
      </c>
    </row>
    <row r="79" spans="1:72" s="3" customFormat="1" ht="45" hidden="1" customHeight="1" outlineLevel="1" x14ac:dyDescent="0.25">
      <c r="A79" s="124"/>
      <c r="B79" s="59">
        <v>15</v>
      </c>
      <c r="C79" s="122" t="s">
        <v>544</v>
      </c>
      <c r="D79" s="122" t="s">
        <v>1123</v>
      </c>
      <c r="E79" s="122" t="s">
        <v>1118</v>
      </c>
      <c r="F79" s="122">
        <v>204862</v>
      </c>
      <c r="G79" s="122">
        <v>200203</v>
      </c>
      <c r="H79" s="122"/>
      <c r="I79" s="122"/>
      <c r="J79" s="122"/>
      <c r="K79" s="122"/>
      <c r="L79" s="122"/>
      <c r="M79" s="122"/>
      <c r="N79" s="122">
        <f t="shared" si="68"/>
        <v>0</v>
      </c>
      <c r="O79" s="122">
        <v>180183</v>
      </c>
      <c r="P79" s="122">
        <v>1</v>
      </c>
      <c r="Q79" s="26">
        <v>0</v>
      </c>
      <c r="R79" s="122">
        <v>0</v>
      </c>
      <c r="S79" s="122">
        <f t="shared" si="10"/>
        <v>0</v>
      </c>
      <c r="T79" s="122"/>
      <c r="U79" s="26">
        <f t="shared" si="72"/>
        <v>0</v>
      </c>
      <c r="V79" s="122">
        <f t="shared" si="72"/>
        <v>0</v>
      </c>
      <c r="W79" s="122"/>
      <c r="X79" s="122">
        <f t="shared" si="73"/>
        <v>0</v>
      </c>
      <c r="Y79" s="122">
        <v>0</v>
      </c>
      <c r="Z79" s="122">
        <f t="shared" si="74"/>
        <v>0</v>
      </c>
      <c r="AA79" s="122">
        <v>0</v>
      </c>
      <c r="AB79" s="122"/>
      <c r="AC79" s="26">
        <f t="shared" si="14"/>
        <v>0</v>
      </c>
      <c r="AD79" s="122">
        <f t="shared" si="4"/>
        <v>0</v>
      </c>
      <c r="AE79" s="122"/>
      <c r="AF79" s="122">
        <f t="shared" si="66"/>
        <v>0</v>
      </c>
      <c r="AG79" s="122">
        <v>0</v>
      </c>
      <c r="AH79" s="122">
        <f t="shared" si="67"/>
        <v>0</v>
      </c>
      <c r="AI79" s="122">
        <f t="shared" si="69"/>
        <v>0</v>
      </c>
      <c r="AJ79" s="122"/>
      <c r="AK79" s="122"/>
      <c r="AL79" s="122">
        <v>90182</v>
      </c>
      <c r="AM79" s="122">
        <v>1</v>
      </c>
      <c r="AN79" s="122">
        <f t="shared" si="18"/>
        <v>0</v>
      </c>
      <c r="AO79" s="122"/>
      <c r="AP79" s="122">
        <f t="shared" si="70"/>
        <v>0</v>
      </c>
      <c r="AQ79" s="122"/>
      <c r="AR79" s="34">
        <f t="shared" si="20"/>
        <v>90182</v>
      </c>
      <c r="AS79" s="10">
        <f t="shared" si="20"/>
        <v>1</v>
      </c>
      <c r="AT79" s="10"/>
      <c r="AU79" s="10">
        <f t="shared" si="21"/>
        <v>0</v>
      </c>
      <c r="AV79" s="10">
        <v>90182</v>
      </c>
      <c r="AW79" s="10">
        <f t="shared" si="22"/>
        <v>1</v>
      </c>
      <c r="AX79" s="10">
        <f t="shared" ref="AX79:AX84" si="75">AR79/0.9*0.1</f>
        <v>10020.222222222223</v>
      </c>
      <c r="AY79" s="10"/>
      <c r="AZ79" s="10">
        <v>1</v>
      </c>
      <c r="BA79" s="10">
        <v>90000</v>
      </c>
      <c r="BB79" s="10">
        <v>1</v>
      </c>
      <c r="BC79" s="10">
        <f t="shared" si="24"/>
        <v>0</v>
      </c>
      <c r="BD79" s="10"/>
      <c r="BE79" s="26">
        <f t="shared" si="25"/>
        <v>90000</v>
      </c>
      <c r="BF79" s="122">
        <f t="shared" si="25"/>
        <v>1</v>
      </c>
      <c r="BG79" s="122">
        <v>90000</v>
      </c>
      <c r="BH79" s="122">
        <f t="shared" si="26"/>
        <v>1</v>
      </c>
      <c r="BI79" s="122"/>
      <c r="BJ79" s="122">
        <f t="shared" si="27"/>
        <v>0</v>
      </c>
      <c r="BK79" s="122">
        <v>10001</v>
      </c>
      <c r="BL79" s="122">
        <v>1</v>
      </c>
      <c r="BM79" s="122"/>
      <c r="BN79" s="122" t="s">
        <v>927</v>
      </c>
      <c r="BO79" s="122" t="s">
        <v>1710</v>
      </c>
      <c r="BP79" s="122" t="s">
        <v>928</v>
      </c>
      <c r="BQ79" s="122" t="s">
        <v>266</v>
      </c>
      <c r="BR79" s="122" t="s">
        <v>930</v>
      </c>
      <c r="BS79" s="122" t="s">
        <v>929</v>
      </c>
      <c r="BT79" s="55" t="s">
        <v>1231</v>
      </c>
    </row>
    <row r="80" spans="1:72" s="3" customFormat="1" ht="61.5" hidden="1" customHeight="1" outlineLevel="1" x14ac:dyDescent="0.25">
      <c r="A80" s="124"/>
      <c r="B80" s="59">
        <v>16</v>
      </c>
      <c r="C80" s="122" t="s">
        <v>423</v>
      </c>
      <c r="D80" s="122" t="s">
        <v>424</v>
      </c>
      <c r="E80" s="122">
        <v>2016</v>
      </c>
      <c r="F80" s="122">
        <v>240572.9</v>
      </c>
      <c r="G80" s="122">
        <v>229896</v>
      </c>
      <c r="H80" s="122"/>
      <c r="I80" s="122"/>
      <c r="J80" s="122"/>
      <c r="K80" s="122"/>
      <c r="L80" s="122"/>
      <c r="M80" s="122">
        <f>AG80+AI80</f>
        <v>0</v>
      </c>
      <c r="N80" s="122">
        <f t="shared" si="68"/>
        <v>0</v>
      </c>
      <c r="O80" s="122">
        <v>206906</v>
      </c>
      <c r="P80" s="122">
        <v>1</v>
      </c>
      <c r="Q80" s="26">
        <v>0</v>
      </c>
      <c r="R80" s="122">
        <v>0</v>
      </c>
      <c r="S80" s="122">
        <f t="shared" si="10"/>
        <v>0</v>
      </c>
      <c r="T80" s="122"/>
      <c r="U80" s="26">
        <f t="shared" si="72"/>
        <v>0</v>
      </c>
      <c r="V80" s="122">
        <f t="shared" si="72"/>
        <v>0</v>
      </c>
      <c r="W80" s="122"/>
      <c r="X80" s="122">
        <f t="shared" si="73"/>
        <v>0</v>
      </c>
      <c r="Y80" s="122"/>
      <c r="Z80" s="122">
        <f t="shared" si="74"/>
        <v>0</v>
      </c>
      <c r="AA80" s="122">
        <v>0</v>
      </c>
      <c r="AB80" s="122"/>
      <c r="AC80" s="26">
        <f t="shared" si="14"/>
        <v>0</v>
      </c>
      <c r="AD80" s="122">
        <f t="shared" si="4"/>
        <v>0</v>
      </c>
      <c r="AE80" s="122"/>
      <c r="AF80" s="122">
        <f t="shared" si="66"/>
        <v>0</v>
      </c>
      <c r="AG80" s="122"/>
      <c r="AH80" s="122">
        <f t="shared" si="67"/>
        <v>0</v>
      </c>
      <c r="AI80" s="122">
        <f t="shared" si="69"/>
        <v>0</v>
      </c>
      <c r="AJ80" s="122"/>
      <c r="AK80" s="122"/>
      <c r="AL80" s="122">
        <v>206906</v>
      </c>
      <c r="AM80" s="122">
        <v>1</v>
      </c>
      <c r="AN80" s="122">
        <f t="shared" si="18"/>
        <v>0</v>
      </c>
      <c r="AO80" s="122"/>
      <c r="AP80" s="122">
        <f t="shared" si="70"/>
        <v>0</v>
      </c>
      <c r="AQ80" s="122"/>
      <c r="AR80" s="34">
        <f t="shared" si="20"/>
        <v>206906</v>
      </c>
      <c r="AS80" s="10">
        <f t="shared" si="20"/>
        <v>1</v>
      </c>
      <c r="AT80" s="10"/>
      <c r="AU80" s="10">
        <f t="shared" si="21"/>
        <v>0</v>
      </c>
      <c r="AV80" s="10">
        <v>206906</v>
      </c>
      <c r="AW80" s="10">
        <f t="shared" si="22"/>
        <v>1</v>
      </c>
      <c r="AX80" s="10">
        <f t="shared" si="75"/>
        <v>22989.555555555558</v>
      </c>
      <c r="AY80" s="10">
        <v>1</v>
      </c>
      <c r="AZ80" s="10"/>
      <c r="BA80" s="10">
        <v>0</v>
      </c>
      <c r="BB80" s="10">
        <v>0</v>
      </c>
      <c r="BC80" s="10">
        <f t="shared" si="24"/>
        <v>0</v>
      </c>
      <c r="BD80" s="10"/>
      <c r="BE80" s="26">
        <f t="shared" si="25"/>
        <v>0</v>
      </c>
      <c r="BF80" s="122">
        <f t="shared" si="25"/>
        <v>0</v>
      </c>
      <c r="BG80" s="122"/>
      <c r="BH80" s="122">
        <f t="shared" si="26"/>
        <v>0</v>
      </c>
      <c r="BI80" s="122"/>
      <c r="BJ80" s="122">
        <f t="shared" si="27"/>
        <v>0</v>
      </c>
      <c r="BK80" s="122"/>
      <c r="BL80" s="122"/>
      <c r="BM80" s="122"/>
      <c r="BN80" s="122" t="s">
        <v>425</v>
      </c>
      <c r="BO80" s="122" t="s">
        <v>1566</v>
      </c>
      <c r="BP80" s="122" t="s">
        <v>426</v>
      </c>
      <c r="BQ80" s="122" t="s">
        <v>427</v>
      </c>
      <c r="BR80" s="122" t="s">
        <v>428</v>
      </c>
      <c r="BS80" s="122" t="s">
        <v>405</v>
      </c>
      <c r="BT80" s="55" t="s">
        <v>429</v>
      </c>
    </row>
    <row r="81" spans="1:77" s="3" customFormat="1" ht="56.25" hidden="1" customHeight="1" outlineLevel="1" x14ac:dyDescent="0.25">
      <c r="A81" s="124"/>
      <c r="B81" s="59">
        <v>17</v>
      </c>
      <c r="C81" s="122" t="s">
        <v>432</v>
      </c>
      <c r="D81" s="122" t="s">
        <v>431</v>
      </c>
      <c r="E81" s="122" t="s">
        <v>1118</v>
      </c>
      <c r="F81" s="122">
        <v>466897.2</v>
      </c>
      <c r="G81" s="122">
        <v>437161</v>
      </c>
      <c r="H81" s="122"/>
      <c r="I81" s="122"/>
      <c r="J81" s="122"/>
      <c r="K81" s="122"/>
      <c r="L81" s="122"/>
      <c r="M81" s="122">
        <f>AG81+AI81</f>
        <v>0</v>
      </c>
      <c r="N81" s="122">
        <f t="shared" si="68"/>
        <v>0</v>
      </c>
      <c r="O81" s="122">
        <v>196722</v>
      </c>
      <c r="P81" s="122">
        <v>1</v>
      </c>
      <c r="Q81" s="26">
        <v>0</v>
      </c>
      <c r="R81" s="122">
        <v>0</v>
      </c>
      <c r="S81" s="122">
        <f t="shared" si="10"/>
        <v>0</v>
      </c>
      <c r="T81" s="122"/>
      <c r="U81" s="26">
        <f t="shared" si="72"/>
        <v>0</v>
      </c>
      <c r="V81" s="122">
        <f t="shared" si="72"/>
        <v>0</v>
      </c>
      <c r="W81" s="122"/>
      <c r="X81" s="122">
        <f t="shared" si="73"/>
        <v>0</v>
      </c>
      <c r="Y81" s="122"/>
      <c r="Z81" s="122">
        <f t="shared" si="74"/>
        <v>0</v>
      </c>
      <c r="AA81" s="122">
        <v>0</v>
      </c>
      <c r="AB81" s="122"/>
      <c r="AC81" s="26">
        <f t="shared" si="14"/>
        <v>0</v>
      </c>
      <c r="AD81" s="122">
        <f t="shared" si="4"/>
        <v>0</v>
      </c>
      <c r="AE81" s="122"/>
      <c r="AF81" s="122">
        <f t="shared" si="66"/>
        <v>0</v>
      </c>
      <c r="AG81" s="122"/>
      <c r="AH81" s="122">
        <f t="shared" si="67"/>
        <v>0</v>
      </c>
      <c r="AI81" s="122">
        <f t="shared" si="69"/>
        <v>0</v>
      </c>
      <c r="AJ81" s="122"/>
      <c r="AK81" s="122"/>
      <c r="AL81" s="122">
        <v>100000</v>
      </c>
      <c r="AM81" s="122">
        <v>1</v>
      </c>
      <c r="AN81" s="122">
        <f t="shared" si="18"/>
        <v>0</v>
      </c>
      <c r="AO81" s="122"/>
      <c r="AP81" s="122">
        <f t="shared" si="70"/>
        <v>0</v>
      </c>
      <c r="AQ81" s="122"/>
      <c r="AR81" s="34">
        <f t="shared" si="20"/>
        <v>100000</v>
      </c>
      <c r="AS81" s="10">
        <f t="shared" si="20"/>
        <v>1</v>
      </c>
      <c r="AT81" s="10"/>
      <c r="AU81" s="10">
        <f t="shared" si="21"/>
        <v>0</v>
      </c>
      <c r="AV81" s="10">
        <v>100000</v>
      </c>
      <c r="AW81" s="10">
        <f t="shared" si="22"/>
        <v>1</v>
      </c>
      <c r="AX81" s="10">
        <f t="shared" si="75"/>
        <v>11111.111111111111</v>
      </c>
      <c r="AY81" s="10"/>
      <c r="AZ81" s="10">
        <v>1</v>
      </c>
      <c r="BA81" s="10">
        <v>293445</v>
      </c>
      <c r="BB81" s="10">
        <v>1</v>
      </c>
      <c r="BC81" s="10">
        <f t="shared" si="24"/>
        <v>0</v>
      </c>
      <c r="BD81" s="10"/>
      <c r="BE81" s="26">
        <f t="shared" si="25"/>
        <v>293445</v>
      </c>
      <c r="BF81" s="122">
        <f t="shared" si="25"/>
        <v>1</v>
      </c>
      <c r="BG81" s="122">
        <v>293445</v>
      </c>
      <c r="BH81" s="122">
        <f t="shared" si="26"/>
        <v>1</v>
      </c>
      <c r="BI81" s="122"/>
      <c r="BJ81" s="122">
        <f t="shared" si="27"/>
        <v>0</v>
      </c>
      <c r="BK81" s="122">
        <f>BG81/0.9*0.1</f>
        <v>32605</v>
      </c>
      <c r="BL81" s="122">
        <v>1</v>
      </c>
      <c r="BM81" s="122"/>
      <c r="BN81" s="122" t="s">
        <v>433</v>
      </c>
      <c r="BO81" s="122" t="s">
        <v>437</v>
      </c>
      <c r="BP81" s="122" t="s">
        <v>434</v>
      </c>
      <c r="BQ81" s="122" t="s">
        <v>435</v>
      </c>
      <c r="BR81" s="122" t="s">
        <v>436</v>
      </c>
      <c r="BS81" s="122" t="s">
        <v>405</v>
      </c>
      <c r="BT81" s="55" t="s">
        <v>1136</v>
      </c>
    </row>
    <row r="82" spans="1:77" s="3" customFormat="1" ht="45.75" hidden="1" customHeight="1" outlineLevel="1" x14ac:dyDescent="0.25">
      <c r="A82" s="124"/>
      <c r="B82" s="59">
        <v>18</v>
      </c>
      <c r="C82" s="122" t="s">
        <v>1457</v>
      </c>
      <c r="D82" s="122" t="s">
        <v>438</v>
      </c>
      <c r="E82" s="122">
        <v>2016</v>
      </c>
      <c r="F82" s="122">
        <v>297072.03000000003</v>
      </c>
      <c r="G82" s="122">
        <v>289122</v>
      </c>
      <c r="H82" s="122"/>
      <c r="I82" s="122"/>
      <c r="J82" s="122"/>
      <c r="K82" s="122"/>
      <c r="L82" s="122"/>
      <c r="M82" s="122">
        <f>AG82+AI82</f>
        <v>0</v>
      </c>
      <c r="N82" s="122">
        <f t="shared" si="68"/>
        <v>0</v>
      </c>
      <c r="O82" s="122">
        <v>130105</v>
      </c>
      <c r="P82" s="122">
        <v>1</v>
      </c>
      <c r="Q82" s="26">
        <v>0</v>
      </c>
      <c r="R82" s="122">
        <v>0</v>
      </c>
      <c r="S82" s="122">
        <f t="shared" si="10"/>
        <v>0</v>
      </c>
      <c r="T82" s="122"/>
      <c r="U82" s="26">
        <f t="shared" si="72"/>
        <v>0</v>
      </c>
      <c r="V82" s="122">
        <f t="shared" si="72"/>
        <v>0</v>
      </c>
      <c r="W82" s="122"/>
      <c r="X82" s="122">
        <f t="shared" si="73"/>
        <v>0</v>
      </c>
      <c r="Y82" s="122"/>
      <c r="Z82" s="122">
        <f t="shared" si="74"/>
        <v>0</v>
      </c>
      <c r="AA82" s="122">
        <v>0</v>
      </c>
      <c r="AB82" s="122"/>
      <c r="AC82" s="26">
        <f t="shared" si="14"/>
        <v>0</v>
      </c>
      <c r="AD82" s="122">
        <f t="shared" si="4"/>
        <v>0</v>
      </c>
      <c r="AE82" s="122"/>
      <c r="AF82" s="122">
        <f t="shared" si="66"/>
        <v>0</v>
      </c>
      <c r="AG82" s="122"/>
      <c r="AH82" s="122">
        <f t="shared" si="67"/>
        <v>0</v>
      </c>
      <c r="AI82" s="122">
        <f t="shared" si="69"/>
        <v>0</v>
      </c>
      <c r="AJ82" s="122"/>
      <c r="AK82" s="122"/>
      <c r="AL82" s="122">
        <v>260210</v>
      </c>
      <c r="AM82" s="122">
        <v>1</v>
      </c>
      <c r="AN82" s="122">
        <f t="shared" si="18"/>
        <v>0</v>
      </c>
      <c r="AO82" s="122"/>
      <c r="AP82" s="122">
        <f t="shared" si="70"/>
        <v>0</v>
      </c>
      <c r="AQ82" s="122"/>
      <c r="AR82" s="34">
        <f t="shared" si="20"/>
        <v>260210</v>
      </c>
      <c r="AS82" s="10">
        <f t="shared" si="20"/>
        <v>1</v>
      </c>
      <c r="AT82" s="10">
        <v>260210</v>
      </c>
      <c r="AU82" s="10">
        <f t="shared" si="21"/>
        <v>1</v>
      </c>
      <c r="AV82" s="10"/>
      <c r="AW82" s="10">
        <f t="shared" si="22"/>
        <v>0</v>
      </c>
      <c r="AX82" s="10">
        <f t="shared" si="75"/>
        <v>28912.222222222219</v>
      </c>
      <c r="AY82" s="10">
        <v>1</v>
      </c>
      <c r="AZ82" s="10"/>
      <c r="BA82" s="10">
        <v>0</v>
      </c>
      <c r="BB82" s="10">
        <v>0</v>
      </c>
      <c r="BC82" s="10">
        <f t="shared" si="24"/>
        <v>0</v>
      </c>
      <c r="BD82" s="10"/>
      <c r="BE82" s="26">
        <f t="shared" si="25"/>
        <v>0</v>
      </c>
      <c r="BF82" s="122">
        <f t="shared" si="25"/>
        <v>0</v>
      </c>
      <c r="BG82" s="122"/>
      <c r="BH82" s="122">
        <f t="shared" si="26"/>
        <v>0</v>
      </c>
      <c r="BI82" s="122"/>
      <c r="BJ82" s="122">
        <f t="shared" si="27"/>
        <v>0</v>
      </c>
      <c r="BK82" s="122"/>
      <c r="BL82" s="122"/>
      <c r="BM82" s="122"/>
      <c r="BN82" s="122" t="s">
        <v>439</v>
      </c>
      <c r="BO82" s="122" t="s">
        <v>1513</v>
      </c>
      <c r="BP82" s="122" t="s">
        <v>440</v>
      </c>
      <c r="BQ82" s="122" t="s">
        <v>441</v>
      </c>
      <c r="BR82" s="122" t="s">
        <v>442</v>
      </c>
      <c r="BS82" s="122" t="s">
        <v>11</v>
      </c>
      <c r="BT82" s="55" t="s">
        <v>528</v>
      </c>
    </row>
    <row r="83" spans="1:77" s="3" customFormat="1" ht="46.5" hidden="1" customHeight="1" outlineLevel="1" x14ac:dyDescent="0.25">
      <c r="A83" s="124"/>
      <c r="B83" s="59">
        <v>19</v>
      </c>
      <c r="C83" s="122" t="s">
        <v>443</v>
      </c>
      <c r="D83" s="122" t="s">
        <v>444</v>
      </c>
      <c r="E83" s="122">
        <v>2016</v>
      </c>
      <c r="F83" s="122">
        <v>187717.52</v>
      </c>
      <c r="G83" s="122">
        <v>180017</v>
      </c>
      <c r="H83" s="122"/>
      <c r="I83" s="122"/>
      <c r="J83" s="122"/>
      <c r="K83" s="122"/>
      <c r="L83" s="122"/>
      <c r="M83" s="122"/>
      <c r="N83" s="122">
        <f t="shared" si="68"/>
        <v>0</v>
      </c>
      <c r="O83" s="122">
        <v>162015</v>
      </c>
      <c r="P83" s="122">
        <v>1</v>
      </c>
      <c r="Q83" s="26">
        <v>0</v>
      </c>
      <c r="R83" s="122">
        <v>0</v>
      </c>
      <c r="S83" s="122">
        <f t="shared" si="10"/>
        <v>0</v>
      </c>
      <c r="T83" s="122"/>
      <c r="U83" s="26">
        <f t="shared" si="72"/>
        <v>0</v>
      </c>
      <c r="V83" s="122">
        <f t="shared" si="72"/>
        <v>0</v>
      </c>
      <c r="W83" s="122"/>
      <c r="X83" s="122">
        <f t="shared" si="73"/>
        <v>0</v>
      </c>
      <c r="Y83" s="122">
        <v>0</v>
      </c>
      <c r="Z83" s="122">
        <f t="shared" si="74"/>
        <v>0</v>
      </c>
      <c r="AA83" s="122">
        <v>0</v>
      </c>
      <c r="AB83" s="122"/>
      <c r="AC83" s="26">
        <f t="shared" si="14"/>
        <v>0</v>
      </c>
      <c r="AD83" s="122">
        <f t="shared" si="4"/>
        <v>0</v>
      </c>
      <c r="AE83" s="122"/>
      <c r="AF83" s="122">
        <f t="shared" si="66"/>
        <v>0</v>
      </c>
      <c r="AG83" s="122">
        <v>0</v>
      </c>
      <c r="AH83" s="122">
        <f t="shared" si="67"/>
        <v>0</v>
      </c>
      <c r="AI83" s="122">
        <f t="shared" si="69"/>
        <v>0</v>
      </c>
      <c r="AJ83" s="122"/>
      <c r="AK83" s="122"/>
      <c r="AL83" s="122">
        <v>162015</v>
      </c>
      <c r="AM83" s="122">
        <v>1</v>
      </c>
      <c r="AN83" s="122">
        <f t="shared" si="18"/>
        <v>0</v>
      </c>
      <c r="AO83" s="122"/>
      <c r="AP83" s="122">
        <f t="shared" si="70"/>
        <v>0</v>
      </c>
      <c r="AQ83" s="122"/>
      <c r="AR83" s="34">
        <f t="shared" si="20"/>
        <v>162015</v>
      </c>
      <c r="AS83" s="10">
        <f t="shared" si="20"/>
        <v>1</v>
      </c>
      <c r="AT83" s="10"/>
      <c r="AU83" s="10">
        <f t="shared" si="21"/>
        <v>0</v>
      </c>
      <c r="AV83" s="10">
        <v>162015</v>
      </c>
      <c r="AW83" s="10">
        <f t="shared" si="22"/>
        <v>1</v>
      </c>
      <c r="AX83" s="10">
        <f t="shared" si="75"/>
        <v>18001.666666666668</v>
      </c>
      <c r="AY83" s="10">
        <v>1</v>
      </c>
      <c r="AZ83" s="10"/>
      <c r="BA83" s="10">
        <v>0</v>
      </c>
      <c r="BB83" s="10">
        <v>0</v>
      </c>
      <c r="BC83" s="10">
        <f t="shared" si="24"/>
        <v>0</v>
      </c>
      <c r="BD83" s="10"/>
      <c r="BE83" s="26">
        <f t="shared" si="25"/>
        <v>0</v>
      </c>
      <c r="BF83" s="122">
        <f t="shared" si="25"/>
        <v>0</v>
      </c>
      <c r="BG83" s="122"/>
      <c r="BH83" s="122">
        <f t="shared" si="26"/>
        <v>0</v>
      </c>
      <c r="BI83" s="122"/>
      <c r="BJ83" s="122">
        <f t="shared" si="27"/>
        <v>0</v>
      </c>
      <c r="BK83" s="122"/>
      <c r="BL83" s="122"/>
      <c r="BM83" s="122"/>
      <c r="BN83" s="122" t="s">
        <v>445</v>
      </c>
      <c r="BO83" s="122" t="s">
        <v>1513</v>
      </c>
      <c r="BP83" s="122" t="s">
        <v>446</v>
      </c>
      <c r="BQ83" s="122" t="s">
        <v>1567</v>
      </c>
      <c r="BR83" s="122" t="s">
        <v>266</v>
      </c>
      <c r="BS83" s="122" t="s">
        <v>405</v>
      </c>
      <c r="BT83" s="55" t="s">
        <v>529</v>
      </c>
    </row>
    <row r="84" spans="1:77" s="3" customFormat="1" ht="46.5" hidden="1" customHeight="1" outlineLevel="1" x14ac:dyDescent="0.25">
      <c r="A84" s="124"/>
      <c r="B84" s="59">
        <v>20</v>
      </c>
      <c r="C84" s="122" t="s">
        <v>447</v>
      </c>
      <c r="D84" s="122" t="s">
        <v>449</v>
      </c>
      <c r="E84" s="122">
        <v>2016</v>
      </c>
      <c r="F84" s="122">
        <v>207838.97700000001</v>
      </c>
      <c r="G84" s="122">
        <v>188839</v>
      </c>
      <c r="H84" s="122"/>
      <c r="I84" s="122"/>
      <c r="J84" s="122"/>
      <c r="K84" s="122"/>
      <c r="L84" s="122"/>
      <c r="M84" s="122"/>
      <c r="N84" s="122">
        <f t="shared" si="68"/>
        <v>0</v>
      </c>
      <c r="O84" s="122">
        <v>169955</v>
      </c>
      <c r="P84" s="122">
        <v>1</v>
      </c>
      <c r="Q84" s="26">
        <v>0</v>
      </c>
      <c r="R84" s="122">
        <v>0</v>
      </c>
      <c r="S84" s="122">
        <f t="shared" si="10"/>
        <v>0</v>
      </c>
      <c r="T84" s="122"/>
      <c r="U84" s="26">
        <f t="shared" si="72"/>
        <v>0</v>
      </c>
      <c r="V84" s="122">
        <f t="shared" si="72"/>
        <v>0</v>
      </c>
      <c r="W84" s="122"/>
      <c r="X84" s="122">
        <f t="shared" si="73"/>
        <v>0</v>
      </c>
      <c r="Y84" s="122">
        <v>0</v>
      </c>
      <c r="Z84" s="122">
        <f t="shared" si="74"/>
        <v>0</v>
      </c>
      <c r="AA84" s="122">
        <v>0</v>
      </c>
      <c r="AB84" s="122"/>
      <c r="AC84" s="26">
        <f t="shared" si="14"/>
        <v>0</v>
      </c>
      <c r="AD84" s="122">
        <f t="shared" si="4"/>
        <v>0</v>
      </c>
      <c r="AE84" s="122"/>
      <c r="AF84" s="122">
        <f t="shared" si="66"/>
        <v>0</v>
      </c>
      <c r="AG84" s="122">
        <v>0</v>
      </c>
      <c r="AH84" s="122">
        <f t="shared" si="67"/>
        <v>0</v>
      </c>
      <c r="AI84" s="122">
        <f t="shared" si="69"/>
        <v>0</v>
      </c>
      <c r="AJ84" s="122"/>
      <c r="AK84" s="122"/>
      <c r="AL84" s="122">
        <v>169955</v>
      </c>
      <c r="AM84" s="122">
        <v>1</v>
      </c>
      <c r="AN84" s="122">
        <f t="shared" si="18"/>
        <v>0</v>
      </c>
      <c r="AO84" s="122"/>
      <c r="AP84" s="122">
        <f t="shared" si="70"/>
        <v>0</v>
      </c>
      <c r="AQ84" s="122"/>
      <c r="AR84" s="34">
        <f t="shared" si="20"/>
        <v>169955</v>
      </c>
      <c r="AS84" s="10">
        <f t="shared" si="20"/>
        <v>1</v>
      </c>
      <c r="AT84" s="10"/>
      <c r="AU84" s="10">
        <f t="shared" si="21"/>
        <v>0</v>
      </c>
      <c r="AV84" s="10">
        <v>169955</v>
      </c>
      <c r="AW84" s="10">
        <f t="shared" si="22"/>
        <v>1</v>
      </c>
      <c r="AX84" s="10">
        <f t="shared" si="75"/>
        <v>18883.888888888887</v>
      </c>
      <c r="AY84" s="10">
        <v>1</v>
      </c>
      <c r="AZ84" s="10"/>
      <c r="BA84" s="10">
        <v>0</v>
      </c>
      <c r="BB84" s="10">
        <v>0</v>
      </c>
      <c r="BC84" s="10">
        <f t="shared" si="24"/>
        <v>0</v>
      </c>
      <c r="BD84" s="10"/>
      <c r="BE84" s="26">
        <f t="shared" si="25"/>
        <v>0</v>
      </c>
      <c r="BF84" s="122">
        <f t="shared" si="25"/>
        <v>0</v>
      </c>
      <c r="BG84" s="122"/>
      <c r="BH84" s="122">
        <f t="shared" si="26"/>
        <v>0</v>
      </c>
      <c r="BI84" s="122"/>
      <c r="BJ84" s="122">
        <f t="shared" si="27"/>
        <v>0</v>
      </c>
      <c r="BK84" s="122"/>
      <c r="BL84" s="122"/>
      <c r="BM84" s="122"/>
      <c r="BN84" s="122" t="s">
        <v>448</v>
      </c>
      <c r="BO84" s="122" t="s">
        <v>1513</v>
      </c>
      <c r="BP84" s="122" t="s">
        <v>450</v>
      </c>
      <c r="BQ84" s="122" t="s">
        <v>451</v>
      </c>
      <c r="BR84" s="122" t="s">
        <v>266</v>
      </c>
      <c r="BS84" s="122" t="s">
        <v>405</v>
      </c>
      <c r="BT84" s="55" t="s">
        <v>530</v>
      </c>
    </row>
    <row r="85" spans="1:77" s="3" customFormat="1" ht="51.75" hidden="1" customHeight="1" outlineLevel="1" x14ac:dyDescent="0.25">
      <c r="A85" s="124"/>
      <c r="B85" s="59">
        <v>21</v>
      </c>
      <c r="C85" s="122" t="s">
        <v>1458</v>
      </c>
      <c r="D85" s="122" t="s">
        <v>452</v>
      </c>
      <c r="E85" s="122">
        <v>2016</v>
      </c>
      <c r="F85" s="122">
        <v>149808</v>
      </c>
      <c r="G85" s="122">
        <v>136009</v>
      </c>
      <c r="H85" s="122"/>
      <c r="I85" s="122"/>
      <c r="J85" s="122"/>
      <c r="K85" s="122"/>
      <c r="L85" s="122"/>
      <c r="M85" s="122">
        <f>AG85+AI85</f>
        <v>0</v>
      </c>
      <c r="N85" s="122">
        <f t="shared" si="68"/>
        <v>0</v>
      </c>
      <c r="O85" s="122">
        <v>122408</v>
      </c>
      <c r="P85" s="122">
        <v>1</v>
      </c>
      <c r="Q85" s="26">
        <v>0</v>
      </c>
      <c r="R85" s="122">
        <v>0</v>
      </c>
      <c r="S85" s="122">
        <f t="shared" si="10"/>
        <v>0</v>
      </c>
      <c r="T85" s="122"/>
      <c r="U85" s="26">
        <f t="shared" si="72"/>
        <v>0</v>
      </c>
      <c r="V85" s="122">
        <f t="shared" si="72"/>
        <v>0</v>
      </c>
      <c r="W85" s="122"/>
      <c r="X85" s="122">
        <f t="shared" si="73"/>
        <v>0</v>
      </c>
      <c r="Y85" s="122"/>
      <c r="Z85" s="122">
        <f t="shared" si="74"/>
        <v>0</v>
      </c>
      <c r="AA85" s="122">
        <v>0</v>
      </c>
      <c r="AB85" s="122"/>
      <c r="AC85" s="26">
        <f t="shared" si="14"/>
        <v>0</v>
      </c>
      <c r="AD85" s="122">
        <f t="shared" si="4"/>
        <v>0</v>
      </c>
      <c r="AE85" s="122"/>
      <c r="AF85" s="122">
        <f t="shared" si="66"/>
        <v>0</v>
      </c>
      <c r="AG85" s="122"/>
      <c r="AH85" s="122">
        <f t="shared" si="67"/>
        <v>0</v>
      </c>
      <c r="AI85" s="122">
        <f t="shared" si="69"/>
        <v>0</v>
      </c>
      <c r="AJ85" s="122"/>
      <c r="AK85" s="122"/>
      <c r="AL85" s="122">
        <v>122408</v>
      </c>
      <c r="AM85" s="122">
        <v>1</v>
      </c>
      <c r="AN85" s="122">
        <f t="shared" si="18"/>
        <v>0</v>
      </c>
      <c r="AO85" s="122"/>
      <c r="AP85" s="122">
        <f t="shared" si="70"/>
        <v>0</v>
      </c>
      <c r="AQ85" s="122"/>
      <c r="AR85" s="34">
        <f t="shared" si="20"/>
        <v>122408</v>
      </c>
      <c r="AS85" s="10">
        <f t="shared" si="20"/>
        <v>1</v>
      </c>
      <c r="AT85" s="10"/>
      <c r="AU85" s="10">
        <f t="shared" si="21"/>
        <v>0</v>
      </c>
      <c r="AV85" s="10">
        <v>122408</v>
      </c>
      <c r="AW85" s="10">
        <f t="shared" si="22"/>
        <v>1</v>
      </c>
      <c r="AX85" s="10">
        <f>AV85/0.9*0.1</f>
        <v>13600.888888888889</v>
      </c>
      <c r="AY85" s="10">
        <v>1</v>
      </c>
      <c r="AZ85" s="10"/>
      <c r="BA85" s="10">
        <v>0</v>
      </c>
      <c r="BB85" s="10">
        <v>0</v>
      </c>
      <c r="BC85" s="10">
        <f t="shared" si="24"/>
        <v>0</v>
      </c>
      <c r="BD85" s="10"/>
      <c r="BE85" s="26">
        <f t="shared" si="25"/>
        <v>0</v>
      </c>
      <c r="BF85" s="122">
        <f t="shared" si="25"/>
        <v>0</v>
      </c>
      <c r="BG85" s="122"/>
      <c r="BH85" s="122">
        <f t="shared" si="26"/>
        <v>0</v>
      </c>
      <c r="BI85" s="122"/>
      <c r="BJ85" s="122">
        <f t="shared" si="27"/>
        <v>0</v>
      </c>
      <c r="BK85" s="122"/>
      <c r="BL85" s="122"/>
      <c r="BM85" s="122"/>
      <c r="BN85" s="122" t="s">
        <v>453</v>
      </c>
      <c r="BO85" s="122" t="s">
        <v>1232</v>
      </c>
      <c r="BP85" s="122" t="s">
        <v>454</v>
      </c>
      <c r="BQ85" s="122" t="s">
        <v>456</v>
      </c>
      <c r="BR85" s="122" t="s">
        <v>455</v>
      </c>
      <c r="BS85" s="122" t="s">
        <v>405</v>
      </c>
      <c r="BT85" s="55" t="s">
        <v>1142</v>
      </c>
    </row>
    <row r="86" spans="1:77" s="3" customFormat="1" ht="93.75" hidden="1" customHeight="1" outlineLevel="1" x14ac:dyDescent="0.25">
      <c r="A86" s="124"/>
      <c r="B86" s="59">
        <v>22</v>
      </c>
      <c r="C86" s="122" t="s">
        <v>1364</v>
      </c>
      <c r="D86" s="122" t="s">
        <v>457</v>
      </c>
      <c r="E86" s="122">
        <v>2015</v>
      </c>
      <c r="F86" s="122">
        <v>317093.14</v>
      </c>
      <c r="G86" s="122">
        <v>303613</v>
      </c>
      <c r="H86" s="122"/>
      <c r="I86" s="122"/>
      <c r="J86" s="122"/>
      <c r="K86" s="122"/>
      <c r="L86" s="122"/>
      <c r="M86" s="122">
        <v>0</v>
      </c>
      <c r="N86" s="122">
        <f t="shared" si="68"/>
        <v>0</v>
      </c>
      <c r="O86" s="122">
        <v>303613.33333333331</v>
      </c>
      <c r="P86" s="122">
        <v>1</v>
      </c>
      <c r="Q86" s="26">
        <v>273252</v>
      </c>
      <c r="R86" s="122">
        <v>1</v>
      </c>
      <c r="S86" s="122">
        <f t="shared" si="10"/>
        <v>273252</v>
      </c>
      <c r="T86" s="122"/>
      <c r="U86" s="26">
        <f t="shared" si="72"/>
        <v>273252</v>
      </c>
      <c r="V86" s="122">
        <f t="shared" si="72"/>
        <v>1</v>
      </c>
      <c r="W86" s="122"/>
      <c r="X86" s="122">
        <f t="shared" si="73"/>
        <v>0</v>
      </c>
      <c r="Y86" s="122">
        <v>273252</v>
      </c>
      <c r="Z86" s="122">
        <f t="shared" si="74"/>
        <v>1</v>
      </c>
      <c r="AA86" s="122">
        <v>-273252</v>
      </c>
      <c r="AB86" s="122"/>
      <c r="AC86" s="26">
        <f t="shared" si="14"/>
        <v>0</v>
      </c>
      <c r="AD86" s="122">
        <f t="shared" si="14"/>
        <v>0</v>
      </c>
      <c r="AE86" s="122"/>
      <c r="AF86" s="122">
        <f t="shared" si="66"/>
        <v>0</v>
      </c>
      <c r="AG86" s="122"/>
      <c r="AH86" s="122">
        <f t="shared" si="67"/>
        <v>0</v>
      </c>
      <c r="AI86" s="122">
        <f t="shared" si="69"/>
        <v>0</v>
      </c>
      <c r="AJ86" s="122">
        <v>1</v>
      </c>
      <c r="AK86" s="122"/>
      <c r="AL86" s="122">
        <v>0</v>
      </c>
      <c r="AM86" s="122">
        <v>0</v>
      </c>
      <c r="AN86" s="122">
        <f t="shared" si="18"/>
        <v>-238252</v>
      </c>
      <c r="AO86" s="122"/>
      <c r="AP86" s="122">
        <f t="shared" si="70"/>
        <v>273252</v>
      </c>
      <c r="AQ86" s="122"/>
      <c r="AR86" s="34">
        <f t="shared" si="20"/>
        <v>238252</v>
      </c>
      <c r="AS86" s="10">
        <f t="shared" si="20"/>
        <v>1</v>
      </c>
      <c r="AT86" s="10">
        <f>203252+35000</f>
        <v>238252</v>
      </c>
      <c r="AU86" s="10">
        <f t="shared" si="21"/>
        <v>1</v>
      </c>
      <c r="AV86" s="10"/>
      <c r="AW86" s="10">
        <f t="shared" si="22"/>
        <v>0</v>
      </c>
      <c r="AX86" s="10">
        <f>AR86/0.9*0.1</f>
        <v>26472.444444444445</v>
      </c>
      <c r="AY86" s="10"/>
      <c r="AZ86" s="10"/>
      <c r="BA86" s="10">
        <v>0</v>
      </c>
      <c r="BB86" s="10">
        <v>0</v>
      </c>
      <c r="BC86" s="10">
        <f t="shared" si="24"/>
        <v>0</v>
      </c>
      <c r="BD86" s="10"/>
      <c r="BE86" s="26">
        <f t="shared" si="25"/>
        <v>0</v>
      </c>
      <c r="BF86" s="122">
        <f t="shared" si="25"/>
        <v>0</v>
      </c>
      <c r="BG86" s="122"/>
      <c r="BH86" s="122">
        <f t="shared" si="26"/>
        <v>0</v>
      </c>
      <c r="BI86" s="122"/>
      <c r="BJ86" s="122">
        <f t="shared" si="27"/>
        <v>0</v>
      </c>
      <c r="BK86" s="122"/>
      <c r="BL86" s="122"/>
      <c r="BM86" s="122"/>
      <c r="BN86" s="122" t="s">
        <v>458</v>
      </c>
      <c r="BO86" s="122" t="s">
        <v>1568</v>
      </c>
      <c r="BP86" s="122" t="s">
        <v>459</v>
      </c>
      <c r="BQ86" s="122" t="s">
        <v>461</v>
      </c>
      <c r="BR86" s="122" t="s">
        <v>460</v>
      </c>
      <c r="BS86" s="122" t="s">
        <v>405</v>
      </c>
      <c r="BT86" s="55" t="s">
        <v>1138</v>
      </c>
    </row>
    <row r="87" spans="1:77" s="3" customFormat="1" ht="83.25" hidden="1" customHeight="1" outlineLevel="1" x14ac:dyDescent="0.25">
      <c r="A87" s="124"/>
      <c r="B87" s="59">
        <v>23</v>
      </c>
      <c r="C87" s="122" t="s">
        <v>1459</v>
      </c>
      <c r="D87" s="122" t="s">
        <v>462</v>
      </c>
      <c r="E87" s="122" t="s">
        <v>10</v>
      </c>
      <c r="F87" s="122">
        <v>541303.92000000004</v>
      </c>
      <c r="G87" s="122">
        <v>517839</v>
      </c>
      <c r="H87" s="122"/>
      <c r="I87" s="122"/>
      <c r="J87" s="122"/>
      <c r="K87" s="122"/>
      <c r="L87" s="122"/>
      <c r="M87" s="122">
        <v>0</v>
      </c>
      <c r="N87" s="122">
        <f t="shared" si="68"/>
        <v>0</v>
      </c>
      <c r="O87" s="122">
        <v>466055</v>
      </c>
      <c r="P87" s="122">
        <v>1</v>
      </c>
      <c r="Q87" s="26">
        <v>200000</v>
      </c>
      <c r="R87" s="122">
        <v>1</v>
      </c>
      <c r="S87" s="122">
        <f t="shared" si="10"/>
        <v>200000</v>
      </c>
      <c r="T87" s="122"/>
      <c r="U87" s="26">
        <f t="shared" si="72"/>
        <v>200000</v>
      </c>
      <c r="V87" s="122">
        <f t="shared" si="72"/>
        <v>1</v>
      </c>
      <c r="W87" s="122"/>
      <c r="X87" s="122">
        <f t="shared" si="73"/>
        <v>0</v>
      </c>
      <c r="Y87" s="122">
        <v>200000</v>
      </c>
      <c r="Z87" s="122">
        <f t="shared" si="74"/>
        <v>1</v>
      </c>
      <c r="AA87" s="122">
        <v>-200000</v>
      </c>
      <c r="AB87" s="122"/>
      <c r="AC87" s="26">
        <f t="shared" si="14"/>
        <v>0</v>
      </c>
      <c r="AD87" s="122">
        <f t="shared" si="14"/>
        <v>0</v>
      </c>
      <c r="AE87" s="122"/>
      <c r="AF87" s="122">
        <f t="shared" si="66"/>
        <v>0</v>
      </c>
      <c r="AG87" s="122"/>
      <c r="AH87" s="122">
        <f t="shared" si="67"/>
        <v>0</v>
      </c>
      <c r="AI87" s="122">
        <f t="shared" si="69"/>
        <v>0</v>
      </c>
      <c r="AJ87" s="122"/>
      <c r="AK87" s="122">
        <v>1</v>
      </c>
      <c r="AL87" s="122">
        <v>266055</v>
      </c>
      <c r="AM87" s="122">
        <v>1</v>
      </c>
      <c r="AN87" s="122">
        <f t="shared" si="18"/>
        <v>-165000</v>
      </c>
      <c r="AO87" s="122"/>
      <c r="AP87" s="122">
        <f t="shared" si="70"/>
        <v>200000</v>
      </c>
      <c r="AQ87" s="122"/>
      <c r="AR87" s="34">
        <f t="shared" si="20"/>
        <v>431055</v>
      </c>
      <c r="AS87" s="10">
        <f t="shared" si="20"/>
        <v>1</v>
      </c>
      <c r="AT87" s="10">
        <f>266055+130000+35000</f>
        <v>431055</v>
      </c>
      <c r="AU87" s="10">
        <f t="shared" si="21"/>
        <v>1</v>
      </c>
      <c r="AV87" s="10"/>
      <c r="AW87" s="10">
        <f t="shared" si="22"/>
        <v>0</v>
      </c>
      <c r="AX87" s="10">
        <f>AR87/0.9*0.1</f>
        <v>47895</v>
      </c>
      <c r="AY87" s="10">
        <v>1</v>
      </c>
      <c r="AZ87" s="10"/>
      <c r="BA87" s="10">
        <v>0</v>
      </c>
      <c r="BB87" s="10">
        <v>0</v>
      </c>
      <c r="BC87" s="10">
        <f t="shared" si="24"/>
        <v>0</v>
      </c>
      <c r="BD87" s="10"/>
      <c r="BE87" s="26">
        <f t="shared" ref="BE87:BF95" si="76">BG87+BI87</f>
        <v>0</v>
      </c>
      <c r="BF87" s="122">
        <f t="shared" si="76"/>
        <v>0</v>
      </c>
      <c r="BG87" s="122"/>
      <c r="BH87" s="122">
        <f t="shared" si="26"/>
        <v>0</v>
      </c>
      <c r="BI87" s="122"/>
      <c r="BJ87" s="122">
        <f t="shared" si="27"/>
        <v>0</v>
      </c>
      <c r="BK87" s="122"/>
      <c r="BL87" s="122"/>
      <c r="BM87" s="122"/>
      <c r="BN87" s="122" t="s">
        <v>1931</v>
      </c>
      <c r="BO87" s="122" t="s">
        <v>1568</v>
      </c>
      <c r="BP87" s="122" t="s">
        <v>463</v>
      </c>
      <c r="BQ87" s="122" t="s">
        <v>1367</v>
      </c>
      <c r="BR87" s="122" t="s">
        <v>466</v>
      </c>
      <c r="BS87" s="122" t="s">
        <v>464</v>
      </c>
      <c r="BT87" s="55" t="s">
        <v>465</v>
      </c>
    </row>
    <row r="88" spans="1:77" s="3" customFormat="1" ht="111" hidden="1" customHeight="1" outlineLevel="1" x14ac:dyDescent="0.25">
      <c r="A88" s="124"/>
      <c r="B88" s="59">
        <v>24</v>
      </c>
      <c r="C88" s="122" t="s">
        <v>467</v>
      </c>
      <c r="D88" s="122" t="s">
        <v>468</v>
      </c>
      <c r="E88" s="122">
        <v>2016</v>
      </c>
      <c r="F88" s="122">
        <v>293782.93</v>
      </c>
      <c r="G88" s="122">
        <v>267540</v>
      </c>
      <c r="H88" s="122"/>
      <c r="I88" s="122"/>
      <c r="J88" s="122"/>
      <c r="K88" s="122"/>
      <c r="L88" s="122"/>
      <c r="M88" s="122">
        <v>0</v>
      </c>
      <c r="N88" s="122">
        <f t="shared" si="68"/>
        <v>0</v>
      </c>
      <c r="O88" s="122">
        <v>240786</v>
      </c>
      <c r="P88" s="122">
        <v>1</v>
      </c>
      <c r="Q88" s="26">
        <v>0</v>
      </c>
      <c r="R88" s="122">
        <v>0</v>
      </c>
      <c r="S88" s="122">
        <f t="shared" si="10"/>
        <v>0</v>
      </c>
      <c r="T88" s="122"/>
      <c r="U88" s="26">
        <f t="shared" si="72"/>
        <v>0</v>
      </c>
      <c r="V88" s="122">
        <f t="shared" si="72"/>
        <v>0</v>
      </c>
      <c r="W88" s="122"/>
      <c r="X88" s="122">
        <f t="shared" si="73"/>
        <v>0</v>
      </c>
      <c r="Y88" s="122">
        <v>0</v>
      </c>
      <c r="Z88" s="122">
        <f t="shared" si="74"/>
        <v>0</v>
      </c>
      <c r="AA88" s="122">
        <v>0</v>
      </c>
      <c r="AB88" s="122"/>
      <c r="AC88" s="26">
        <f t="shared" si="14"/>
        <v>0</v>
      </c>
      <c r="AD88" s="122">
        <f t="shared" si="14"/>
        <v>0</v>
      </c>
      <c r="AE88" s="122"/>
      <c r="AF88" s="122">
        <f t="shared" si="66"/>
        <v>0</v>
      </c>
      <c r="AG88" s="122">
        <v>0</v>
      </c>
      <c r="AH88" s="122">
        <f t="shared" si="67"/>
        <v>0</v>
      </c>
      <c r="AI88" s="122">
        <f t="shared" si="69"/>
        <v>0</v>
      </c>
      <c r="AJ88" s="122"/>
      <c r="AK88" s="122"/>
      <c r="AL88" s="122">
        <v>240786</v>
      </c>
      <c r="AM88" s="122">
        <v>1</v>
      </c>
      <c r="AN88" s="122">
        <f t="shared" si="18"/>
        <v>0</v>
      </c>
      <c r="AO88" s="122"/>
      <c r="AP88" s="122">
        <f t="shared" si="70"/>
        <v>0</v>
      </c>
      <c r="AQ88" s="122"/>
      <c r="AR88" s="34">
        <f t="shared" si="20"/>
        <v>240786</v>
      </c>
      <c r="AS88" s="10">
        <f t="shared" si="20"/>
        <v>1</v>
      </c>
      <c r="AT88" s="10"/>
      <c r="AU88" s="10">
        <f t="shared" si="21"/>
        <v>0</v>
      </c>
      <c r="AV88" s="10">
        <v>240786</v>
      </c>
      <c r="AW88" s="10">
        <f t="shared" si="22"/>
        <v>1</v>
      </c>
      <c r="AX88" s="10">
        <f>AR88/0.9*0.1</f>
        <v>26754</v>
      </c>
      <c r="AY88" s="10">
        <v>1</v>
      </c>
      <c r="AZ88" s="10"/>
      <c r="BA88" s="10">
        <v>0</v>
      </c>
      <c r="BB88" s="10">
        <v>0</v>
      </c>
      <c r="BC88" s="10">
        <f t="shared" si="24"/>
        <v>0</v>
      </c>
      <c r="BD88" s="10"/>
      <c r="BE88" s="26">
        <f t="shared" si="76"/>
        <v>0</v>
      </c>
      <c r="BF88" s="122">
        <f t="shared" si="76"/>
        <v>0</v>
      </c>
      <c r="BG88" s="122"/>
      <c r="BH88" s="122">
        <f t="shared" si="26"/>
        <v>0</v>
      </c>
      <c r="BI88" s="122"/>
      <c r="BJ88" s="122">
        <f t="shared" si="27"/>
        <v>0</v>
      </c>
      <c r="BK88" s="122"/>
      <c r="BL88" s="122"/>
      <c r="BM88" s="122"/>
      <c r="BN88" s="122" t="s">
        <v>469</v>
      </c>
      <c r="BO88" s="122" t="s">
        <v>1568</v>
      </c>
      <c r="BP88" s="122" t="s">
        <v>470</v>
      </c>
      <c r="BQ88" s="122"/>
      <c r="BR88" s="122" t="s">
        <v>471</v>
      </c>
      <c r="BS88" s="122" t="s">
        <v>405</v>
      </c>
      <c r="BT88" s="55" t="s">
        <v>1139</v>
      </c>
    </row>
    <row r="89" spans="1:77" s="3" customFormat="1" ht="48.75" hidden="1" customHeight="1" outlineLevel="1" x14ac:dyDescent="0.25">
      <c r="A89" s="124"/>
      <c r="B89" s="59">
        <v>25</v>
      </c>
      <c r="C89" s="122" t="s">
        <v>472</v>
      </c>
      <c r="D89" s="122" t="s">
        <v>473</v>
      </c>
      <c r="E89" s="122">
        <v>2016</v>
      </c>
      <c r="F89" s="122">
        <v>544918</v>
      </c>
      <c r="G89" s="122">
        <v>518105</v>
      </c>
      <c r="H89" s="122"/>
      <c r="I89" s="122"/>
      <c r="J89" s="122"/>
      <c r="K89" s="122"/>
      <c r="L89" s="122"/>
      <c r="M89" s="122">
        <v>0</v>
      </c>
      <c r="N89" s="122">
        <f t="shared" si="68"/>
        <v>0</v>
      </c>
      <c r="O89" s="122">
        <v>355337</v>
      </c>
      <c r="P89" s="122">
        <v>1</v>
      </c>
      <c r="Q89" s="26">
        <v>0</v>
      </c>
      <c r="R89" s="122">
        <v>0</v>
      </c>
      <c r="S89" s="122">
        <f t="shared" si="10"/>
        <v>0</v>
      </c>
      <c r="T89" s="122"/>
      <c r="U89" s="26">
        <f t="shared" si="72"/>
        <v>0</v>
      </c>
      <c r="V89" s="122">
        <f t="shared" si="72"/>
        <v>0</v>
      </c>
      <c r="W89" s="122"/>
      <c r="X89" s="122">
        <f t="shared" si="73"/>
        <v>0</v>
      </c>
      <c r="Y89" s="122">
        <v>0</v>
      </c>
      <c r="Z89" s="122">
        <f t="shared" si="74"/>
        <v>0</v>
      </c>
      <c r="AA89" s="122">
        <v>0</v>
      </c>
      <c r="AB89" s="122"/>
      <c r="AC89" s="26">
        <f t="shared" si="14"/>
        <v>0</v>
      </c>
      <c r="AD89" s="122">
        <f t="shared" si="14"/>
        <v>0</v>
      </c>
      <c r="AE89" s="122"/>
      <c r="AF89" s="122">
        <f t="shared" si="66"/>
        <v>0</v>
      </c>
      <c r="AG89" s="122">
        <v>0</v>
      </c>
      <c r="AH89" s="122">
        <f t="shared" si="67"/>
        <v>0</v>
      </c>
      <c r="AI89" s="122">
        <f t="shared" si="69"/>
        <v>0</v>
      </c>
      <c r="AJ89" s="122"/>
      <c r="AK89" s="122"/>
      <c r="AL89" s="122">
        <v>466295</v>
      </c>
      <c r="AM89" s="122">
        <v>1</v>
      </c>
      <c r="AN89" s="122">
        <f t="shared" si="18"/>
        <v>0</v>
      </c>
      <c r="AO89" s="122"/>
      <c r="AP89" s="122">
        <f t="shared" si="70"/>
        <v>0</v>
      </c>
      <c r="AQ89" s="122"/>
      <c r="AR89" s="34">
        <f t="shared" si="20"/>
        <v>466295</v>
      </c>
      <c r="AS89" s="10">
        <f t="shared" si="20"/>
        <v>1</v>
      </c>
      <c r="AT89" s="10"/>
      <c r="AU89" s="10">
        <f t="shared" si="21"/>
        <v>0</v>
      </c>
      <c r="AV89" s="10">
        <v>466295</v>
      </c>
      <c r="AW89" s="10">
        <f t="shared" si="22"/>
        <v>1</v>
      </c>
      <c r="AX89" s="10">
        <v>51810</v>
      </c>
      <c r="AY89" s="10">
        <v>1</v>
      </c>
      <c r="AZ89" s="10"/>
      <c r="BA89" s="10">
        <v>0</v>
      </c>
      <c r="BB89" s="10">
        <v>0</v>
      </c>
      <c r="BC89" s="10">
        <f t="shared" si="24"/>
        <v>0</v>
      </c>
      <c r="BD89" s="10"/>
      <c r="BE89" s="26">
        <f t="shared" si="76"/>
        <v>0</v>
      </c>
      <c r="BF89" s="122">
        <f t="shared" si="76"/>
        <v>0</v>
      </c>
      <c r="BG89" s="122"/>
      <c r="BH89" s="122">
        <f t="shared" si="26"/>
        <v>0</v>
      </c>
      <c r="BI89" s="122"/>
      <c r="BJ89" s="122">
        <f t="shared" si="27"/>
        <v>0</v>
      </c>
      <c r="BK89" s="122"/>
      <c r="BL89" s="122"/>
      <c r="BM89" s="122"/>
      <c r="BN89" s="122" t="s">
        <v>474</v>
      </c>
      <c r="BO89" s="122" t="s">
        <v>477</v>
      </c>
      <c r="BP89" s="122" t="s">
        <v>475</v>
      </c>
      <c r="BQ89" s="122" t="s">
        <v>476</v>
      </c>
      <c r="BR89" s="122" t="s">
        <v>266</v>
      </c>
      <c r="BS89" s="122" t="s">
        <v>405</v>
      </c>
      <c r="BT89" s="55" t="s">
        <v>1137</v>
      </c>
    </row>
    <row r="90" spans="1:77" s="3" customFormat="1" ht="48.75" hidden="1" customHeight="1" outlineLevel="1" x14ac:dyDescent="0.25">
      <c r="A90" s="124"/>
      <c r="B90" s="59">
        <v>26</v>
      </c>
      <c r="C90" s="122" t="s">
        <v>478</v>
      </c>
      <c r="D90" s="122" t="s">
        <v>479</v>
      </c>
      <c r="E90" s="122">
        <v>2016</v>
      </c>
      <c r="F90" s="122">
        <v>773546</v>
      </c>
      <c r="G90" s="122">
        <v>781401</v>
      </c>
      <c r="H90" s="122"/>
      <c r="I90" s="122"/>
      <c r="J90" s="122"/>
      <c r="K90" s="122"/>
      <c r="L90" s="122"/>
      <c r="M90" s="122">
        <v>0</v>
      </c>
      <c r="N90" s="122">
        <f t="shared" si="68"/>
        <v>0</v>
      </c>
      <c r="O90" s="122">
        <v>270000</v>
      </c>
      <c r="P90" s="122">
        <v>1</v>
      </c>
      <c r="Q90" s="26">
        <v>0</v>
      </c>
      <c r="R90" s="122">
        <v>0</v>
      </c>
      <c r="S90" s="122">
        <f t="shared" si="10"/>
        <v>0</v>
      </c>
      <c r="T90" s="122"/>
      <c r="U90" s="26">
        <f t="shared" si="72"/>
        <v>0</v>
      </c>
      <c r="V90" s="122">
        <f t="shared" si="72"/>
        <v>0</v>
      </c>
      <c r="W90" s="122"/>
      <c r="X90" s="122">
        <f t="shared" si="73"/>
        <v>0</v>
      </c>
      <c r="Y90" s="122">
        <v>0</v>
      </c>
      <c r="Z90" s="122">
        <f t="shared" si="74"/>
        <v>0</v>
      </c>
      <c r="AA90" s="122">
        <v>0</v>
      </c>
      <c r="AB90" s="122"/>
      <c r="AC90" s="26">
        <f t="shared" si="14"/>
        <v>0</v>
      </c>
      <c r="AD90" s="122">
        <f t="shared" si="14"/>
        <v>0</v>
      </c>
      <c r="AE90" s="122"/>
      <c r="AF90" s="122">
        <f t="shared" si="66"/>
        <v>0</v>
      </c>
      <c r="AG90" s="122">
        <v>0</v>
      </c>
      <c r="AH90" s="122">
        <f t="shared" si="67"/>
        <v>0</v>
      </c>
      <c r="AI90" s="122">
        <f t="shared" si="69"/>
        <v>0</v>
      </c>
      <c r="AJ90" s="122"/>
      <c r="AK90" s="122"/>
      <c r="AL90" s="122">
        <v>703261</v>
      </c>
      <c r="AM90" s="122">
        <v>1</v>
      </c>
      <c r="AN90" s="122">
        <f t="shared" si="18"/>
        <v>0</v>
      </c>
      <c r="AO90" s="122"/>
      <c r="AP90" s="122">
        <f t="shared" si="70"/>
        <v>0</v>
      </c>
      <c r="AQ90" s="122"/>
      <c r="AR90" s="34">
        <f t="shared" si="20"/>
        <v>703261</v>
      </c>
      <c r="AS90" s="10">
        <f t="shared" si="20"/>
        <v>1</v>
      </c>
      <c r="AT90" s="10">
        <v>703261</v>
      </c>
      <c r="AU90" s="10">
        <f t="shared" si="21"/>
        <v>1</v>
      </c>
      <c r="AV90" s="10"/>
      <c r="AW90" s="10">
        <f t="shared" si="22"/>
        <v>0</v>
      </c>
      <c r="AX90" s="10">
        <f>AR90/0.9*0.1</f>
        <v>78140.111111111109</v>
      </c>
      <c r="AY90" s="10">
        <v>1</v>
      </c>
      <c r="AZ90" s="10"/>
      <c r="BA90" s="10">
        <v>0</v>
      </c>
      <c r="BB90" s="10">
        <v>0</v>
      </c>
      <c r="BC90" s="10">
        <f t="shared" si="24"/>
        <v>0</v>
      </c>
      <c r="BD90" s="10"/>
      <c r="BE90" s="26">
        <f t="shared" si="76"/>
        <v>0</v>
      </c>
      <c r="BF90" s="122">
        <f t="shared" si="76"/>
        <v>0</v>
      </c>
      <c r="BG90" s="122"/>
      <c r="BH90" s="122">
        <f t="shared" si="26"/>
        <v>0</v>
      </c>
      <c r="BI90" s="122"/>
      <c r="BJ90" s="122">
        <f t="shared" si="27"/>
        <v>0</v>
      </c>
      <c r="BK90" s="122"/>
      <c r="BL90" s="122"/>
      <c r="BM90" s="122"/>
      <c r="BN90" s="122" t="s">
        <v>480</v>
      </c>
      <c r="BO90" s="122" t="s">
        <v>1513</v>
      </c>
      <c r="BP90" s="122" t="s">
        <v>481</v>
      </c>
      <c r="BQ90" s="122" t="s">
        <v>483</v>
      </c>
      <c r="BR90" s="122" t="s">
        <v>531</v>
      </c>
      <c r="BS90" s="122" t="s">
        <v>482</v>
      </c>
      <c r="BT90" s="55" t="s">
        <v>1131</v>
      </c>
    </row>
    <row r="91" spans="1:77" s="3" customFormat="1" ht="11.25" hidden="1" outlineLevel="1" x14ac:dyDescent="0.25">
      <c r="A91" s="124"/>
      <c r="B91" s="59">
        <v>4</v>
      </c>
      <c r="C91" s="11" t="s">
        <v>8</v>
      </c>
      <c r="D91" s="122"/>
      <c r="E91" s="122"/>
      <c r="F91" s="122">
        <f t="shared" ref="F91:N91" si="77">SUM(F92:F95)</f>
        <v>2778869</v>
      </c>
      <c r="G91" s="122">
        <f t="shared" si="77"/>
        <v>2688707</v>
      </c>
      <c r="H91" s="122">
        <f t="shared" si="77"/>
        <v>0</v>
      </c>
      <c r="I91" s="122">
        <f t="shared" si="77"/>
        <v>0</v>
      </c>
      <c r="J91" s="122">
        <f t="shared" si="77"/>
        <v>0</v>
      </c>
      <c r="K91" s="122">
        <f t="shared" si="77"/>
        <v>0</v>
      </c>
      <c r="L91" s="122">
        <f t="shared" si="77"/>
        <v>0</v>
      </c>
      <c r="M91" s="122">
        <f t="shared" si="77"/>
        <v>0</v>
      </c>
      <c r="N91" s="122">
        <f t="shared" si="77"/>
        <v>55555.555555555555</v>
      </c>
      <c r="O91" s="122">
        <v>2072955</v>
      </c>
      <c r="P91" s="122">
        <v>5</v>
      </c>
      <c r="Q91" s="26">
        <v>850319</v>
      </c>
      <c r="R91" s="122">
        <v>4</v>
      </c>
      <c r="S91" s="122">
        <f t="shared" si="10"/>
        <v>800319</v>
      </c>
      <c r="T91" s="122"/>
      <c r="U91" s="26">
        <f t="shared" ref="U91:AZ91" si="78">SUM(U92:U95)</f>
        <v>850319</v>
      </c>
      <c r="V91" s="67">
        <f t="shared" si="78"/>
        <v>4</v>
      </c>
      <c r="W91" s="67">
        <f t="shared" si="78"/>
        <v>0</v>
      </c>
      <c r="X91" s="67">
        <f t="shared" si="78"/>
        <v>0</v>
      </c>
      <c r="Y91" s="67">
        <f t="shared" si="78"/>
        <v>850319</v>
      </c>
      <c r="Z91" s="67">
        <f t="shared" si="78"/>
        <v>4</v>
      </c>
      <c r="AA91" s="67">
        <f t="shared" si="78"/>
        <v>-850319</v>
      </c>
      <c r="AB91" s="67">
        <f t="shared" si="78"/>
        <v>50000</v>
      </c>
      <c r="AC91" s="26">
        <f t="shared" si="78"/>
        <v>50000</v>
      </c>
      <c r="AD91" s="122">
        <f t="shared" si="78"/>
        <v>1</v>
      </c>
      <c r="AE91" s="122">
        <f t="shared" si="78"/>
        <v>0</v>
      </c>
      <c r="AF91" s="122">
        <f t="shared" si="78"/>
        <v>0</v>
      </c>
      <c r="AG91" s="122">
        <f t="shared" si="78"/>
        <v>50000</v>
      </c>
      <c r="AH91" s="122">
        <f t="shared" si="78"/>
        <v>1</v>
      </c>
      <c r="AI91" s="122">
        <f t="shared" si="78"/>
        <v>5555.5555555555557</v>
      </c>
      <c r="AJ91" s="122">
        <f t="shared" si="78"/>
        <v>2</v>
      </c>
      <c r="AK91" s="122">
        <f t="shared" si="78"/>
        <v>2</v>
      </c>
      <c r="AL91" s="122">
        <f t="shared" si="78"/>
        <v>1569517</v>
      </c>
      <c r="AM91" s="122">
        <f t="shared" si="78"/>
        <v>2</v>
      </c>
      <c r="AN91" s="122">
        <f t="shared" si="78"/>
        <v>-850319</v>
      </c>
      <c r="AO91" s="122">
        <f t="shared" si="78"/>
        <v>0</v>
      </c>
      <c r="AP91" s="122">
        <f t="shared" si="78"/>
        <v>800319</v>
      </c>
      <c r="AQ91" s="122">
        <f t="shared" si="78"/>
        <v>0</v>
      </c>
      <c r="AR91" s="26">
        <f t="shared" si="78"/>
        <v>2419836</v>
      </c>
      <c r="AS91" s="122">
        <f t="shared" si="78"/>
        <v>4</v>
      </c>
      <c r="AT91" s="122">
        <f t="shared" si="78"/>
        <v>0</v>
      </c>
      <c r="AU91" s="122">
        <f t="shared" si="78"/>
        <v>0</v>
      </c>
      <c r="AV91" s="122">
        <f t="shared" si="78"/>
        <v>2419836</v>
      </c>
      <c r="AW91" s="122">
        <f t="shared" si="78"/>
        <v>4</v>
      </c>
      <c r="AX91" s="122">
        <f t="shared" si="78"/>
        <v>246649.11111111109</v>
      </c>
      <c r="AY91" s="122">
        <f t="shared" si="78"/>
        <v>2</v>
      </c>
      <c r="AZ91" s="122">
        <f t="shared" si="78"/>
        <v>0</v>
      </c>
      <c r="BA91" s="122">
        <v>1505605</v>
      </c>
      <c r="BB91" s="122">
        <v>6</v>
      </c>
      <c r="BC91" s="10">
        <f t="shared" si="24"/>
        <v>1505605</v>
      </c>
      <c r="BD91" s="122"/>
      <c r="BE91" s="26">
        <f t="shared" ref="BE91:BT91" si="79">SUM(BE92:BE95)</f>
        <v>0</v>
      </c>
      <c r="BF91" s="122">
        <f t="shared" si="79"/>
        <v>0</v>
      </c>
      <c r="BG91" s="122">
        <f t="shared" si="79"/>
        <v>0</v>
      </c>
      <c r="BH91" s="122">
        <f t="shared" si="79"/>
        <v>0</v>
      </c>
      <c r="BI91" s="122">
        <f t="shared" si="79"/>
        <v>0</v>
      </c>
      <c r="BJ91" s="122">
        <f t="shared" si="79"/>
        <v>0</v>
      </c>
      <c r="BK91" s="122">
        <f t="shared" si="79"/>
        <v>0</v>
      </c>
      <c r="BL91" s="122">
        <f t="shared" si="79"/>
        <v>0</v>
      </c>
      <c r="BM91" s="122">
        <f t="shared" si="79"/>
        <v>0</v>
      </c>
      <c r="BN91" s="122">
        <f t="shared" si="79"/>
        <v>0</v>
      </c>
      <c r="BO91" s="122">
        <f t="shared" si="79"/>
        <v>0</v>
      </c>
      <c r="BP91" s="122">
        <f t="shared" si="79"/>
        <v>0</v>
      </c>
      <c r="BQ91" s="122">
        <f t="shared" si="79"/>
        <v>0</v>
      </c>
      <c r="BR91" s="122">
        <f t="shared" si="79"/>
        <v>0</v>
      </c>
      <c r="BS91" s="122">
        <f t="shared" si="79"/>
        <v>0</v>
      </c>
      <c r="BT91" s="55">
        <f t="shared" si="79"/>
        <v>0</v>
      </c>
    </row>
    <row r="92" spans="1:77" s="3" customFormat="1" ht="61.5" hidden="1" customHeight="1" outlineLevel="1" x14ac:dyDescent="0.25">
      <c r="A92" s="124"/>
      <c r="B92" s="125">
        <v>1</v>
      </c>
      <c r="C92" s="122" t="s">
        <v>485</v>
      </c>
      <c r="D92" s="122" t="s">
        <v>486</v>
      </c>
      <c r="E92" s="122" t="s">
        <v>324</v>
      </c>
      <c r="F92" s="122">
        <v>283271</v>
      </c>
      <c r="G92" s="122">
        <v>272043</v>
      </c>
      <c r="H92" s="122"/>
      <c r="I92" s="122"/>
      <c r="J92" s="122"/>
      <c r="K92" s="122"/>
      <c r="L92" s="122"/>
      <c r="M92" s="122">
        <v>0</v>
      </c>
      <c r="N92" s="122">
        <f>AC92+AI92</f>
        <v>0</v>
      </c>
      <c r="O92" s="122">
        <v>244839</v>
      </c>
      <c r="P92" s="122">
        <v>1</v>
      </c>
      <c r="Q92" s="26">
        <v>244839</v>
      </c>
      <c r="R92" s="122">
        <v>1</v>
      </c>
      <c r="S92" s="122">
        <f t="shared" si="10"/>
        <v>244839</v>
      </c>
      <c r="T92" s="122"/>
      <c r="U92" s="26">
        <f t="shared" ref="U92:V95" si="80">W92+Y92</f>
        <v>244839</v>
      </c>
      <c r="V92" s="122">
        <f t="shared" si="80"/>
        <v>1</v>
      </c>
      <c r="W92" s="122"/>
      <c r="X92" s="122">
        <f t="shared" ref="X92:X95" si="81">IF(W92,1,0)</f>
        <v>0</v>
      </c>
      <c r="Y92" s="122">
        <v>244839</v>
      </c>
      <c r="Z92" s="122">
        <f t="shared" ref="Z92:Z95" si="82">IF(Y92,1,0)</f>
        <v>1</v>
      </c>
      <c r="AA92" s="122">
        <v>-244839</v>
      </c>
      <c r="AB92" s="122"/>
      <c r="AC92" s="26">
        <f t="shared" ref="AC92:AD95" si="83">AE92+AG92</f>
        <v>0</v>
      </c>
      <c r="AD92" s="122">
        <f t="shared" si="83"/>
        <v>0</v>
      </c>
      <c r="AE92" s="122"/>
      <c r="AF92" s="122">
        <f t="shared" ref="AF92:AF95" si="84">IF(AE92,1,0)</f>
        <v>0</v>
      </c>
      <c r="AG92" s="122"/>
      <c r="AH92" s="122">
        <f t="shared" ref="AH92:AH95" si="85">IF(AG92,1,0)</f>
        <v>0</v>
      </c>
      <c r="AI92" s="122">
        <f t="shared" ref="AI92:AI95" si="86">AC92/0.9*0.1</f>
        <v>0</v>
      </c>
      <c r="AJ92" s="122">
        <v>1</v>
      </c>
      <c r="AK92" s="122"/>
      <c r="AL92" s="122">
        <v>0</v>
      </c>
      <c r="AM92" s="122"/>
      <c r="AN92" s="122">
        <f t="shared" si="18"/>
        <v>-244839</v>
      </c>
      <c r="AO92" s="122"/>
      <c r="AP92" s="122">
        <f t="shared" si="70"/>
        <v>244839</v>
      </c>
      <c r="AQ92" s="122"/>
      <c r="AR92" s="34">
        <f t="shared" ref="AR92:AS95" si="87">AT92+AV92</f>
        <v>244839</v>
      </c>
      <c r="AS92" s="10">
        <f t="shared" si="87"/>
        <v>1</v>
      </c>
      <c r="AT92" s="10"/>
      <c r="AU92" s="10">
        <v>0</v>
      </c>
      <c r="AV92" s="10">
        <f>244839</f>
        <v>244839</v>
      </c>
      <c r="AW92" s="10">
        <v>1</v>
      </c>
      <c r="AX92" s="10">
        <f t="shared" ref="AX92:AX95" si="88">AR92/0.9*0.1</f>
        <v>27204.333333333332</v>
      </c>
      <c r="AY92" s="10"/>
      <c r="AZ92" s="10"/>
      <c r="BA92" s="10">
        <v>0</v>
      </c>
      <c r="BB92" s="10">
        <v>0</v>
      </c>
      <c r="BC92" s="10">
        <f t="shared" si="24"/>
        <v>0</v>
      </c>
      <c r="BD92" s="10"/>
      <c r="BE92" s="26">
        <f t="shared" si="76"/>
        <v>0</v>
      </c>
      <c r="BF92" s="122">
        <f t="shared" si="76"/>
        <v>0</v>
      </c>
      <c r="BG92" s="122"/>
      <c r="BH92" s="122">
        <f t="shared" ref="BH92:BH95" si="89">IF(BG92,1,0)</f>
        <v>0</v>
      </c>
      <c r="BI92" s="122"/>
      <c r="BJ92" s="122">
        <f t="shared" ref="BJ92:BJ95" si="90">IF(BI92,1,0)</f>
        <v>0</v>
      </c>
      <c r="BK92" s="122"/>
      <c r="BL92" s="122"/>
      <c r="BM92" s="122"/>
      <c r="BN92" s="122" t="s">
        <v>487</v>
      </c>
      <c r="BO92" s="122" t="s">
        <v>1569</v>
      </c>
      <c r="BP92" s="122" t="s">
        <v>488</v>
      </c>
      <c r="BQ92" s="122" t="s">
        <v>490</v>
      </c>
      <c r="BR92" s="122" t="s">
        <v>489</v>
      </c>
      <c r="BS92" s="122" t="s">
        <v>405</v>
      </c>
      <c r="BT92" s="55" t="s">
        <v>1133</v>
      </c>
    </row>
    <row r="93" spans="1:77" s="3" customFormat="1" ht="48.75" hidden="1" customHeight="1" outlineLevel="1" x14ac:dyDescent="0.25">
      <c r="A93" s="124"/>
      <c r="B93" s="125">
        <v>2</v>
      </c>
      <c r="C93" s="122" t="s">
        <v>491</v>
      </c>
      <c r="D93" s="122" t="s">
        <v>492</v>
      </c>
      <c r="E93" s="122" t="s">
        <v>10</v>
      </c>
      <c r="F93" s="122">
        <v>661226</v>
      </c>
      <c r="G93" s="122">
        <v>624266</v>
      </c>
      <c r="H93" s="122"/>
      <c r="I93" s="122"/>
      <c r="J93" s="122"/>
      <c r="K93" s="122"/>
      <c r="L93" s="122"/>
      <c r="M93" s="122">
        <v>0</v>
      </c>
      <c r="N93" s="122">
        <f t="shared" ref="N93:N95" si="91">AC93+AI93</f>
        <v>55555.555555555555</v>
      </c>
      <c r="O93" s="122">
        <v>561839</v>
      </c>
      <c r="P93" s="122">
        <v>1</v>
      </c>
      <c r="Q93" s="26">
        <v>100000</v>
      </c>
      <c r="R93" s="122">
        <v>1</v>
      </c>
      <c r="S93" s="122">
        <f t="shared" si="10"/>
        <v>50000</v>
      </c>
      <c r="T93" s="122"/>
      <c r="U93" s="26">
        <f t="shared" si="80"/>
        <v>100000</v>
      </c>
      <c r="V93" s="122">
        <f t="shared" si="80"/>
        <v>1</v>
      </c>
      <c r="W93" s="122"/>
      <c r="X93" s="122">
        <f t="shared" si="81"/>
        <v>0</v>
      </c>
      <c r="Y93" s="122">
        <v>100000</v>
      </c>
      <c r="Z93" s="122">
        <f t="shared" si="82"/>
        <v>1</v>
      </c>
      <c r="AA93" s="122">
        <v>-100000</v>
      </c>
      <c r="AB93" s="122">
        <v>50000</v>
      </c>
      <c r="AC93" s="26">
        <f t="shared" si="83"/>
        <v>50000</v>
      </c>
      <c r="AD93" s="122">
        <f t="shared" si="83"/>
        <v>1</v>
      </c>
      <c r="AE93" s="122"/>
      <c r="AF93" s="122">
        <f t="shared" si="84"/>
        <v>0</v>
      </c>
      <c r="AG93" s="122">
        <v>50000</v>
      </c>
      <c r="AH93" s="122">
        <f t="shared" si="85"/>
        <v>1</v>
      </c>
      <c r="AI93" s="122">
        <f t="shared" si="86"/>
        <v>5555.5555555555557</v>
      </c>
      <c r="AJ93" s="122"/>
      <c r="AK93" s="122">
        <v>1</v>
      </c>
      <c r="AL93" s="122">
        <v>461839</v>
      </c>
      <c r="AM93" s="122">
        <v>1</v>
      </c>
      <c r="AN93" s="122">
        <f t="shared" si="18"/>
        <v>-100000</v>
      </c>
      <c r="AO93" s="122"/>
      <c r="AP93" s="122">
        <f t="shared" si="70"/>
        <v>50000</v>
      </c>
      <c r="AQ93" s="122"/>
      <c r="AR93" s="34">
        <f t="shared" si="87"/>
        <v>561839</v>
      </c>
      <c r="AS93" s="10">
        <f t="shared" si="87"/>
        <v>1</v>
      </c>
      <c r="AT93" s="10"/>
      <c r="AU93" s="10">
        <f t="shared" ref="AU93:AU95" si="92">IF(AT93,1,0)</f>
        <v>0</v>
      </c>
      <c r="AV93" s="10">
        <f>461839+100000</f>
        <v>561839</v>
      </c>
      <c r="AW93" s="10">
        <f t="shared" ref="AW93:AW95" si="93">IF(AV93,1,0)</f>
        <v>1</v>
      </c>
      <c r="AX93" s="10">
        <f t="shared" si="88"/>
        <v>62426.555555555555</v>
      </c>
      <c r="AY93" s="10">
        <v>1</v>
      </c>
      <c r="AZ93" s="10"/>
      <c r="BA93" s="10">
        <v>0</v>
      </c>
      <c r="BB93" s="10">
        <v>0</v>
      </c>
      <c r="BC93" s="10">
        <f t="shared" si="24"/>
        <v>0</v>
      </c>
      <c r="BD93" s="10"/>
      <c r="BE93" s="26">
        <f t="shared" si="76"/>
        <v>0</v>
      </c>
      <c r="BF93" s="122">
        <f t="shared" si="76"/>
        <v>0</v>
      </c>
      <c r="BG93" s="122"/>
      <c r="BH93" s="122">
        <f t="shared" si="89"/>
        <v>0</v>
      </c>
      <c r="BI93" s="122"/>
      <c r="BJ93" s="122">
        <f t="shared" si="90"/>
        <v>0</v>
      </c>
      <c r="BK93" s="122">
        <f>BE93/0.9*0.1</f>
        <v>0</v>
      </c>
      <c r="BL93" s="122"/>
      <c r="BM93" s="122"/>
      <c r="BN93" s="122" t="s">
        <v>493</v>
      </c>
      <c r="BO93" s="122" t="s">
        <v>1569</v>
      </c>
      <c r="BP93" s="122" t="s">
        <v>494</v>
      </c>
      <c r="BQ93" s="122" t="s">
        <v>1570</v>
      </c>
      <c r="BR93" s="122" t="s">
        <v>1571</v>
      </c>
      <c r="BS93" s="122" t="s">
        <v>495</v>
      </c>
      <c r="BT93" s="55" t="s">
        <v>1135</v>
      </c>
    </row>
    <row r="94" spans="1:77" s="3" customFormat="1" ht="51.75" hidden="1" customHeight="1" outlineLevel="1" x14ac:dyDescent="0.25">
      <c r="A94" s="124"/>
      <c r="B94" s="125">
        <v>3</v>
      </c>
      <c r="C94" s="122" t="s">
        <v>496</v>
      </c>
      <c r="D94" s="122" t="s">
        <v>497</v>
      </c>
      <c r="E94" s="122" t="s">
        <v>10</v>
      </c>
      <c r="F94" s="122">
        <v>1452976</v>
      </c>
      <c r="G94" s="122">
        <v>1452976</v>
      </c>
      <c r="H94" s="122"/>
      <c r="I94" s="122"/>
      <c r="J94" s="122"/>
      <c r="K94" s="122"/>
      <c r="L94" s="122"/>
      <c r="M94" s="122">
        <f>AG94+AI94</f>
        <v>0</v>
      </c>
      <c r="N94" s="122">
        <f t="shared" si="91"/>
        <v>0</v>
      </c>
      <c r="O94" s="122">
        <v>653839</v>
      </c>
      <c r="P94" s="122">
        <v>1</v>
      </c>
      <c r="Q94" s="26">
        <v>200000</v>
      </c>
      <c r="R94" s="122">
        <v>1</v>
      </c>
      <c r="S94" s="122">
        <f t="shared" si="10"/>
        <v>200000</v>
      </c>
      <c r="T94" s="122"/>
      <c r="U94" s="26">
        <f t="shared" si="80"/>
        <v>200000</v>
      </c>
      <c r="V94" s="122">
        <f t="shared" si="80"/>
        <v>1</v>
      </c>
      <c r="W94" s="122"/>
      <c r="X94" s="122">
        <f t="shared" si="81"/>
        <v>0</v>
      </c>
      <c r="Y94" s="122">
        <v>200000</v>
      </c>
      <c r="Z94" s="122">
        <f t="shared" si="82"/>
        <v>1</v>
      </c>
      <c r="AA94" s="122">
        <v>-200000</v>
      </c>
      <c r="AB94" s="122"/>
      <c r="AC94" s="26">
        <f t="shared" si="83"/>
        <v>0</v>
      </c>
      <c r="AD94" s="122">
        <f t="shared" si="83"/>
        <v>0</v>
      </c>
      <c r="AE94" s="122"/>
      <c r="AF94" s="122">
        <f t="shared" si="84"/>
        <v>0</v>
      </c>
      <c r="AG94" s="122"/>
      <c r="AH94" s="122">
        <f t="shared" si="85"/>
        <v>0</v>
      </c>
      <c r="AI94" s="122">
        <f t="shared" si="86"/>
        <v>0</v>
      </c>
      <c r="AJ94" s="122"/>
      <c r="AK94" s="122">
        <v>1</v>
      </c>
      <c r="AL94" s="122">
        <v>1107678</v>
      </c>
      <c r="AM94" s="122">
        <v>1</v>
      </c>
      <c r="AN94" s="122">
        <f t="shared" si="18"/>
        <v>-200000</v>
      </c>
      <c r="AO94" s="122"/>
      <c r="AP94" s="122">
        <f t="shared" si="70"/>
        <v>200000</v>
      </c>
      <c r="AQ94" s="122"/>
      <c r="AR94" s="34">
        <f t="shared" si="87"/>
        <v>1307678</v>
      </c>
      <c r="AS94" s="10">
        <f t="shared" si="87"/>
        <v>1</v>
      </c>
      <c r="AT94" s="10"/>
      <c r="AU94" s="10">
        <f t="shared" si="92"/>
        <v>0</v>
      </c>
      <c r="AV94" s="10">
        <f>1107678+200000</f>
        <v>1307678</v>
      </c>
      <c r="AW94" s="10">
        <f t="shared" si="93"/>
        <v>1</v>
      </c>
      <c r="AX94" s="10">
        <v>123076</v>
      </c>
      <c r="AY94" s="10">
        <v>1</v>
      </c>
      <c r="AZ94" s="10"/>
      <c r="BA94" s="10">
        <v>0</v>
      </c>
      <c r="BB94" s="10">
        <v>0</v>
      </c>
      <c r="BC94" s="10">
        <f t="shared" si="24"/>
        <v>0</v>
      </c>
      <c r="BD94" s="10"/>
      <c r="BE94" s="26">
        <f t="shared" si="76"/>
        <v>0</v>
      </c>
      <c r="BF94" s="122">
        <f t="shared" si="76"/>
        <v>0</v>
      </c>
      <c r="BG94" s="122"/>
      <c r="BH94" s="122">
        <f t="shared" si="89"/>
        <v>0</v>
      </c>
      <c r="BI94" s="122"/>
      <c r="BJ94" s="122">
        <f t="shared" si="90"/>
        <v>0</v>
      </c>
      <c r="BK94" s="122"/>
      <c r="BL94" s="122"/>
      <c r="BM94" s="122"/>
      <c r="BN94" s="122" t="s">
        <v>498</v>
      </c>
      <c r="BO94" s="122" t="s">
        <v>1569</v>
      </c>
      <c r="BP94" s="122" t="s">
        <v>499</v>
      </c>
      <c r="BQ94" s="122" t="s">
        <v>501</v>
      </c>
      <c r="BR94" s="122" t="s">
        <v>500</v>
      </c>
      <c r="BS94" s="122" t="s">
        <v>1369</v>
      </c>
      <c r="BT94" s="55" t="s">
        <v>1140</v>
      </c>
    </row>
    <row r="95" spans="1:77" s="3" customFormat="1" ht="53.25" hidden="1" customHeight="1" outlineLevel="1" x14ac:dyDescent="0.25">
      <c r="A95" s="124"/>
      <c r="B95" s="125">
        <v>4</v>
      </c>
      <c r="C95" s="122" t="s">
        <v>1368</v>
      </c>
      <c r="D95" s="41" t="s">
        <v>1124</v>
      </c>
      <c r="E95" s="41">
        <v>2015</v>
      </c>
      <c r="F95" s="41">
        <v>381396</v>
      </c>
      <c r="G95" s="41">
        <v>339422</v>
      </c>
      <c r="H95" s="41"/>
      <c r="I95" s="41"/>
      <c r="J95" s="41"/>
      <c r="K95" s="41"/>
      <c r="L95" s="41"/>
      <c r="M95" s="122">
        <f>AG95+AI95</f>
        <v>0</v>
      </c>
      <c r="N95" s="122">
        <f t="shared" si="91"/>
        <v>0</v>
      </c>
      <c r="O95" s="122">
        <v>305480</v>
      </c>
      <c r="P95" s="122">
        <v>1</v>
      </c>
      <c r="Q95" s="26">
        <v>305480</v>
      </c>
      <c r="R95" s="122">
        <v>1</v>
      </c>
      <c r="S95" s="122">
        <f t="shared" si="10"/>
        <v>305480</v>
      </c>
      <c r="T95" s="122"/>
      <c r="U95" s="26">
        <f t="shared" si="80"/>
        <v>305480</v>
      </c>
      <c r="V95" s="122">
        <f t="shared" si="80"/>
        <v>1</v>
      </c>
      <c r="W95" s="122"/>
      <c r="X95" s="122">
        <f t="shared" si="81"/>
        <v>0</v>
      </c>
      <c r="Y95" s="122">
        <v>305480</v>
      </c>
      <c r="Z95" s="122">
        <f t="shared" si="82"/>
        <v>1</v>
      </c>
      <c r="AA95" s="122">
        <v>-305480</v>
      </c>
      <c r="AB95" s="122"/>
      <c r="AC95" s="26">
        <f t="shared" si="83"/>
        <v>0</v>
      </c>
      <c r="AD95" s="122">
        <f t="shared" si="83"/>
        <v>0</v>
      </c>
      <c r="AE95" s="122"/>
      <c r="AF95" s="122">
        <f t="shared" si="84"/>
        <v>0</v>
      </c>
      <c r="AG95" s="122"/>
      <c r="AH95" s="122">
        <f t="shared" si="85"/>
        <v>0</v>
      </c>
      <c r="AI95" s="122">
        <f t="shared" si="86"/>
        <v>0</v>
      </c>
      <c r="AJ95" s="122">
        <v>1</v>
      </c>
      <c r="AK95" s="122"/>
      <c r="AL95" s="122">
        <v>0</v>
      </c>
      <c r="AM95" s="122">
        <v>0</v>
      </c>
      <c r="AN95" s="122">
        <f t="shared" si="18"/>
        <v>-305480</v>
      </c>
      <c r="AO95" s="122"/>
      <c r="AP95" s="122">
        <f t="shared" si="70"/>
        <v>305480</v>
      </c>
      <c r="AQ95" s="122"/>
      <c r="AR95" s="34">
        <f t="shared" si="87"/>
        <v>305480</v>
      </c>
      <c r="AS95" s="10">
        <f t="shared" si="87"/>
        <v>1</v>
      </c>
      <c r="AT95" s="10"/>
      <c r="AU95" s="10">
        <f t="shared" si="92"/>
        <v>0</v>
      </c>
      <c r="AV95" s="10">
        <f>305480</f>
        <v>305480</v>
      </c>
      <c r="AW95" s="10">
        <f t="shared" si="93"/>
        <v>1</v>
      </c>
      <c r="AX95" s="10">
        <f t="shared" si="88"/>
        <v>33942.222222222219</v>
      </c>
      <c r="AY95" s="10"/>
      <c r="AZ95" s="10"/>
      <c r="BA95" s="10">
        <v>0</v>
      </c>
      <c r="BB95" s="10">
        <v>0</v>
      </c>
      <c r="BC95" s="10">
        <f t="shared" si="24"/>
        <v>0</v>
      </c>
      <c r="BD95" s="10"/>
      <c r="BE95" s="26">
        <f t="shared" si="76"/>
        <v>0</v>
      </c>
      <c r="BF95" s="122">
        <f t="shared" si="76"/>
        <v>0</v>
      </c>
      <c r="BG95" s="122"/>
      <c r="BH95" s="122">
        <f t="shared" si="89"/>
        <v>0</v>
      </c>
      <c r="BI95" s="122"/>
      <c r="BJ95" s="122">
        <f t="shared" si="90"/>
        <v>0</v>
      </c>
      <c r="BK95" s="122"/>
      <c r="BL95" s="122"/>
      <c r="BM95" s="122"/>
      <c r="BN95" s="122" t="s">
        <v>1126</v>
      </c>
      <c r="BO95" s="122" t="s">
        <v>1569</v>
      </c>
      <c r="BP95" s="122" t="s">
        <v>1125</v>
      </c>
      <c r="BQ95" s="122" t="s">
        <v>1127</v>
      </c>
      <c r="BR95" s="122" t="s">
        <v>1128</v>
      </c>
      <c r="BS95" s="122" t="s">
        <v>405</v>
      </c>
      <c r="BT95" s="55" t="s">
        <v>1129</v>
      </c>
    </row>
    <row r="96" spans="1:77" s="35" customFormat="1" ht="11.25" collapsed="1" x14ac:dyDescent="0.25">
      <c r="A96" s="48"/>
      <c r="B96" s="57">
        <v>15</v>
      </c>
      <c r="C96" s="26" t="s">
        <v>534</v>
      </c>
      <c r="D96" s="26"/>
      <c r="E96" s="26"/>
      <c r="F96" s="26">
        <f>F97</f>
        <v>5771587.4000000004</v>
      </c>
      <c r="G96" s="26">
        <f t="shared" ref="G96:BT96" si="94">G97</f>
        <v>5652384.5199999996</v>
      </c>
      <c r="H96" s="26">
        <f t="shared" si="94"/>
        <v>885357</v>
      </c>
      <c r="I96" s="26">
        <f t="shared" si="94"/>
        <v>78278</v>
      </c>
      <c r="J96" s="26">
        <f t="shared" si="94"/>
        <v>0</v>
      </c>
      <c r="K96" s="26">
        <f t="shared" si="94"/>
        <v>0</v>
      </c>
      <c r="L96" s="26">
        <f t="shared" si="94"/>
        <v>0</v>
      </c>
      <c r="M96" s="26">
        <f t="shared" si="94"/>
        <v>1796213</v>
      </c>
      <c r="N96" s="26">
        <f t="shared" si="94"/>
        <v>660724.28571428568</v>
      </c>
      <c r="O96" s="26">
        <f t="shared" si="94"/>
        <v>2484219</v>
      </c>
      <c r="P96" s="26">
        <f t="shared" si="94"/>
        <v>10</v>
      </c>
      <c r="Q96" s="26">
        <f t="shared" si="94"/>
        <v>1094133</v>
      </c>
      <c r="R96" s="26">
        <f t="shared" si="94"/>
        <v>8</v>
      </c>
      <c r="S96" s="26">
        <f t="shared" si="94"/>
        <v>745677</v>
      </c>
      <c r="T96" s="26">
        <f t="shared" si="94"/>
        <v>0</v>
      </c>
      <c r="U96" s="26">
        <f t="shared" si="94"/>
        <v>1077837</v>
      </c>
      <c r="V96" s="26">
        <f t="shared" si="94"/>
        <v>8</v>
      </c>
      <c r="W96" s="26">
        <f t="shared" si="94"/>
        <v>347837</v>
      </c>
      <c r="X96" s="26">
        <f t="shared" si="94"/>
        <v>3</v>
      </c>
      <c r="Y96" s="26">
        <f t="shared" si="94"/>
        <v>730000</v>
      </c>
      <c r="Z96" s="26">
        <f t="shared" si="94"/>
        <v>5</v>
      </c>
      <c r="AA96" s="26">
        <f t="shared" si="94"/>
        <v>-730000</v>
      </c>
      <c r="AB96" s="26">
        <f t="shared" si="94"/>
        <v>114670</v>
      </c>
      <c r="AC96" s="26">
        <f t="shared" si="94"/>
        <v>462507</v>
      </c>
      <c r="AD96" s="26">
        <f t="shared" si="94"/>
        <v>6</v>
      </c>
      <c r="AE96" s="26">
        <f t="shared" si="94"/>
        <v>462507</v>
      </c>
      <c r="AF96" s="26">
        <f t="shared" si="94"/>
        <v>6</v>
      </c>
      <c r="AG96" s="26">
        <f t="shared" si="94"/>
        <v>0</v>
      </c>
      <c r="AH96" s="26">
        <f t="shared" si="94"/>
        <v>0</v>
      </c>
      <c r="AI96" s="26">
        <f t="shared" si="94"/>
        <v>198217.28571428574</v>
      </c>
      <c r="AJ96" s="26">
        <f t="shared" si="94"/>
        <v>5</v>
      </c>
      <c r="AK96" s="26">
        <f t="shared" si="94"/>
        <v>3</v>
      </c>
      <c r="AL96" s="26">
        <f t="shared" si="94"/>
        <v>1390086</v>
      </c>
      <c r="AM96" s="26">
        <f t="shared" si="94"/>
        <v>5</v>
      </c>
      <c r="AN96" s="26">
        <f t="shared" si="94"/>
        <v>-844051</v>
      </c>
      <c r="AO96" s="26">
        <f t="shared" si="94"/>
        <v>0</v>
      </c>
      <c r="AP96" s="26">
        <f t="shared" si="94"/>
        <v>615330</v>
      </c>
      <c r="AQ96" s="26">
        <f t="shared" si="94"/>
        <v>0</v>
      </c>
      <c r="AR96" s="26">
        <f t="shared" si="94"/>
        <v>2234137</v>
      </c>
      <c r="AS96" s="26">
        <f t="shared" si="94"/>
        <v>10</v>
      </c>
      <c r="AT96" s="26">
        <f t="shared" si="94"/>
        <v>114051</v>
      </c>
      <c r="AU96" s="26">
        <f t="shared" si="94"/>
        <v>3</v>
      </c>
      <c r="AV96" s="26">
        <f t="shared" si="94"/>
        <v>2120086</v>
      </c>
      <c r="AW96" s="26">
        <f t="shared" si="94"/>
        <v>7</v>
      </c>
      <c r="AX96" s="26">
        <f t="shared" si="94"/>
        <v>957487.2857142858</v>
      </c>
      <c r="AY96" s="26">
        <f t="shared" si="94"/>
        <v>5</v>
      </c>
      <c r="AZ96" s="26">
        <f t="shared" si="94"/>
        <v>0</v>
      </c>
      <c r="BA96" s="26">
        <f t="shared" si="94"/>
        <v>0</v>
      </c>
      <c r="BB96" s="26">
        <f t="shared" si="94"/>
        <v>0</v>
      </c>
      <c r="BC96" s="26">
        <f t="shared" si="94"/>
        <v>0</v>
      </c>
      <c r="BD96" s="26">
        <f t="shared" si="94"/>
        <v>0</v>
      </c>
      <c r="BE96" s="26">
        <f t="shared" si="94"/>
        <v>0</v>
      </c>
      <c r="BF96" s="26">
        <f t="shared" si="94"/>
        <v>0</v>
      </c>
      <c r="BG96" s="26">
        <f t="shared" si="94"/>
        <v>0</v>
      </c>
      <c r="BH96" s="26">
        <f t="shared" si="94"/>
        <v>0</v>
      </c>
      <c r="BI96" s="26">
        <f t="shared" si="94"/>
        <v>0</v>
      </c>
      <c r="BJ96" s="26">
        <f t="shared" si="94"/>
        <v>0</v>
      </c>
      <c r="BK96" s="26">
        <f t="shared" si="94"/>
        <v>0</v>
      </c>
      <c r="BL96" s="26">
        <f t="shared" si="94"/>
        <v>0</v>
      </c>
      <c r="BM96" s="26">
        <f t="shared" si="94"/>
        <v>0</v>
      </c>
      <c r="BN96" s="26">
        <f t="shared" si="94"/>
        <v>0</v>
      </c>
      <c r="BO96" s="26">
        <f t="shared" si="94"/>
        <v>0</v>
      </c>
      <c r="BP96" s="26">
        <f t="shared" si="94"/>
        <v>0</v>
      </c>
      <c r="BQ96" s="26">
        <f t="shared" si="94"/>
        <v>0</v>
      </c>
      <c r="BR96" s="26">
        <f t="shared" si="94"/>
        <v>0</v>
      </c>
      <c r="BS96" s="26">
        <f t="shared" si="94"/>
        <v>0</v>
      </c>
      <c r="BT96" s="26">
        <f t="shared" si="94"/>
        <v>0</v>
      </c>
      <c r="BU96" s="25"/>
      <c r="BV96" s="25"/>
      <c r="BW96" s="25"/>
      <c r="BX96" s="25"/>
      <c r="BY96" s="25"/>
    </row>
    <row r="97" spans="1:77" ht="11.25" hidden="1" outlineLevel="1" x14ac:dyDescent="0.25">
      <c r="A97" s="124"/>
      <c r="B97" s="125">
        <v>10</v>
      </c>
      <c r="C97" s="122" t="s">
        <v>198</v>
      </c>
      <c r="D97" s="122"/>
      <c r="E97" s="122"/>
      <c r="F97" s="122">
        <f>SUM(F98:F110)</f>
        <v>5771587.4000000004</v>
      </c>
      <c r="G97" s="122">
        <f t="shared" ref="G97:BK97" si="95">SUM(G98:G110)</f>
        <v>5652384.5199999996</v>
      </c>
      <c r="H97" s="122">
        <f>H98+H99+H100</f>
        <v>885357</v>
      </c>
      <c r="I97" s="122">
        <f>I98+I99+I100</f>
        <v>78278</v>
      </c>
      <c r="J97" s="122"/>
      <c r="K97" s="122"/>
      <c r="L97" s="122"/>
      <c r="M97" s="122">
        <f t="shared" si="95"/>
        <v>1796213</v>
      </c>
      <c r="N97" s="122">
        <f t="shared" si="95"/>
        <v>660724.28571428568</v>
      </c>
      <c r="O97" s="122">
        <v>2484219</v>
      </c>
      <c r="P97" s="122">
        <v>10</v>
      </c>
      <c r="Q97" s="26">
        <v>1094133</v>
      </c>
      <c r="R97" s="122">
        <v>8</v>
      </c>
      <c r="S97" s="26">
        <f t="shared" ref="S97:T97" si="96">SUM(S98:S110)</f>
        <v>745677</v>
      </c>
      <c r="T97" s="26">
        <f t="shared" si="96"/>
        <v>0</v>
      </c>
      <c r="U97" s="26">
        <f t="shared" ref="U97:AB97" si="97">SUM(U98:U110)</f>
        <v>1077837</v>
      </c>
      <c r="V97" s="67">
        <f t="shared" si="97"/>
        <v>8</v>
      </c>
      <c r="W97" s="67">
        <f t="shared" si="97"/>
        <v>347837</v>
      </c>
      <c r="X97" s="67">
        <f t="shared" si="97"/>
        <v>3</v>
      </c>
      <c r="Y97" s="67">
        <f t="shared" si="97"/>
        <v>730000</v>
      </c>
      <c r="Z97" s="67">
        <f t="shared" si="97"/>
        <v>5</v>
      </c>
      <c r="AA97" s="67">
        <f t="shared" si="97"/>
        <v>-730000</v>
      </c>
      <c r="AB97" s="67">
        <f t="shared" si="97"/>
        <v>114670</v>
      </c>
      <c r="AC97" s="26">
        <f t="shared" si="95"/>
        <v>462507</v>
      </c>
      <c r="AD97" s="122">
        <f t="shared" si="95"/>
        <v>6</v>
      </c>
      <c r="AE97" s="122">
        <f t="shared" si="95"/>
        <v>462507</v>
      </c>
      <c r="AF97" s="122">
        <f t="shared" si="95"/>
        <v>6</v>
      </c>
      <c r="AG97" s="122">
        <f t="shared" si="95"/>
        <v>0</v>
      </c>
      <c r="AH97" s="122">
        <f t="shared" si="95"/>
        <v>0</v>
      </c>
      <c r="AI97" s="122">
        <f t="shared" si="95"/>
        <v>198217.28571428574</v>
      </c>
      <c r="AJ97" s="122">
        <f t="shared" ref="AJ97:AQ97" si="98">SUM(AJ98:AJ110)</f>
        <v>5</v>
      </c>
      <c r="AK97" s="122">
        <f t="shared" si="98"/>
        <v>3</v>
      </c>
      <c r="AL97" s="122">
        <f t="shared" si="98"/>
        <v>1390086</v>
      </c>
      <c r="AM97" s="122">
        <f t="shared" si="98"/>
        <v>5</v>
      </c>
      <c r="AN97" s="122">
        <f t="shared" si="98"/>
        <v>-844051</v>
      </c>
      <c r="AO97" s="122">
        <f t="shared" si="98"/>
        <v>0</v>
      </c>
      <c r="AP97" s="122">
        <f t="shared" si="98"/>
        <v>615330</v>
      </c>
      <c r="AQ97" s="122">
        <f t="shared" si="98"/>
        <v>0</v>
      </c>
      <c r="AR97" s="26">
        <f t="shared" si="95"/>
        <v>2234137</v>
      </c>
      <c r="AS97" s="122">
        <f t="shared" si="95"/>
        <v>10</v>
      </c>
      <c r="AT97" s="122">
        <f t="shared" si="95"/>
        <v>114051</v>
      </c>
      <c r="AU97" s="122">
        <f t="shared" si="95"/>
        <v>3</v>
      </c>
      <c r="AV97" s="122">
        <f t="shared" si="95"/>
        <v>2120086</v>
      </c>
      <c r="AW97" s="122">
        <f t="shared" si="95"/>
        <v>7</v>
      </c>
      <c r="AX97" s="122">
        <f t="shared" si="95"/>
        <v>957487.2857142858</v>
      </c>
      <c r="AY97" s="122">
        <f t="shared" ref="AY97:AZ97" si="99">SUM(AY98:AY110)</f>
        <v>5</v>
      </c>
      <c r="AZ97" s="122">
        <f t="shared" si="99"/>
        <v>0</v>
      </c>
      <c r="BA97" s="122">
        <v>0</v>
      </c>
      <c r="BB97" s="122">
        <v>0</v>
      </c>
      <c r="BC97" s="10">
        <f t="shared" ref="BC97:BC160" si="100">BA97-BE97</f>
        <v>0</v>
      </c>
      <c r="BD97" s="122"/>
      <c r="BE97" s="26">
        <f t="shared" si="95"/>
        <v>0</v>
      </c>
      <c r="BF97" s="122">
        <f t="shared" si="95"/>
        <v>0</v>
      </c>
      <c r="BG97" s="122">
        <f t="shared" si="95"/>
        <v>0</v>
      </c>
      <c r="BH97" s="122">
        <f t="shared" si="95"/>
        <v>0</v>
      </c>
      <c r="BI97" s="122">
        <f t="shared" si="95"/>
        <v>0</v>
      </c>
      <c r="BJ97" s="122">
        <f t="shared" si="95"/>
        <v>0</v>
      </c>
      <c r="BK97" s="122">
        <f t="shared" si="95"/>
        <v>0</v>
      </c>
      <c r="BL97" s="122">
        <f t="shared" ref="BL97:BT97" si="101">SUM(BL98:BL110)</f>
        <v>0</v>
      </c>
      <c r="BM97" s="122">
        <f t="shared" si="101"/>
        <v>0</v>
      </c>
      <c r="BN97" s="122">
        <f t="shared" si="101"/>
        <v>0</v>
      </c>
      <c r="BO97" s="122">
        <f t="shared" si="101"/>
        <v>0</v>
      </c>
      <c r="BP97" s="122">
        <f t="shared" si="101"/>
        <v>0</v>
      </c>
      <c r="BQ97" s="122">
        <f t="shared" si="101"/>
        <v>0</v>
      </c>
      <c r="BR97" s="122">
        <f t="shared" si="101"/>
        <v>0</v>
      </c>
      <c r="BS97" s="122">
        <f t="shared" si="101"/>
        <v>0</v>
      </c>
      <c r="BT97" s="55">
        <f t="shared" si="101"/>
        <v>0</v>
      </c>
    </row>
    <row r="98" spans="1:77" ht="50.25" hidden="1" customHeight="1" outlineLevel="1" x14ac:dyDescent="0.25">
      <c r="A98" s="124"/>
      <c r="B98" s="59">
        <v>1</v>
      </c>
      <c r="C98" s="122" t="s">
        <v>1264</v>
      </c>
      <c r="D98" s="122" t="s">
        <v>280</v>
      </c>
      <c r="E98" s="122" t="s">
        <v>9</v>
      </c>
      <c r="F98" s="122">
        <v>306414</v>
      </c>
      <c r="G98" s="122">
        <v>303614</v>
      </c>
      <c r="H98" s="122">
        <v>283980</v>
      </c>
      <c r="I98" s="122">
        <f t="shared" ref="I98:I100" si="102">G98-H98</f>
        <v>19634</v>
      </c>
      <c r="J98" s="122">
        <v>1</v>
      </c>
      <c r="K98" s="122">
        <v>1</v>
      </c>
      <c r="L98" s="122"/>
      <c r="M98" s="122">
        <v>142857</v>
      </c>
      <c r="N98" s="122">
        <f>AC98+AI98</f>
        <v>154137.14285714287</v>
      </c>
      <c r="O98" s="122">
        <v>112530</v>
      </c>
      <c r="P98" s="122">
        <v>1</v>
      </c>
      <c r="Q98" s="26">
        <v>112530</v>
      </c>
      <c r="R98" s="122">
        <v>1</v>
      </c>
      <c r="S98" s="122">
        <f t="shared" ref="S98:S161" si="103">Q98-AC98</f>
        <v>4634</v>
      </c>
      <c r="T98" s="122"/>
      <c r="U98" s="26">
        <f t="shared" ref="U98:V100" si="104">W98+Y98</f>
        <v>107896</v>
      </c>
      <c r="V98" s="122">
        <f t="shared" si="104"/>
        <v>1</v>
      </c>
      <c r="W98" s="122">
        <v>107896</v>
      </c>
      <c r="X98" s="122">
        <f t="shared" ref="X98:X100" si="105">IF(W98,1,0)</f>
        <v>1</v>
      </c>
      <c r="Y98" s="122"/>
      <c r="Z98" s="122">
        <f t="shared" ref="Z98:Z100" si="106">IF(Y98,1,0)</f>
        <v>0</v>
      </c>
      <c r="AA98" s="122">
        <v>0</v>
      </c>
      <c r="AB98" s="122"/>
      <c r="AC98" s="26">
        <f t="shared" ref="AC98:AD155" si="107">AE98+AG98</f>
        <v>107896</v>
      </c>
      <c r="AD98" s="122">
        <f t="shared" si="107"/>
        <v>1</v>
      </c>
      <c r="AE98" s="122">
        <f>107896</f>
        <v>107896</v>
      </c>
      <c r="AF98" s="122">
        <f t="shared" ref="AF98:AF110" si="108">IF(AE98,1,0)</f>
        <v>1</v>
      </c>
      <c r="AG98" s="122"/>
      <c r="AH98" s="122">
        <f t="shared" ref="AH98:AH110" si="109">IF(AG98,1,0)</f>
        <v>0</v>
      </c>
      <c r="AI98" s="122">
        <f>AC98/0.7*0.3</f>
        <v>46241.142857142862</v>
      </c>
      <c r="AJ98" s="122">
        <v>1</v>
      </c>
      <c r="AK98" s="122"/>
      <c r="AL98" s="122">
        <v>0</v>
      </c>
      <c r="AM98" s="122">
        <v>0</v>
      </c>
      <c r="AN98" s="122">
        <f t="shared" ref="AN98:AN161" si="110">AL98-AR98</f>
        <v>-40000</v>
      </c>
      <c r="AO98" s="122"/>
      <c r="AP98" s="122">
        <f>U98-AC98</f>
        <v>0</v>
      </c>
      <c r="AQ98" s="122"/>
      <c r="AR98" s="34">
        <f t="shared" ref="AR98:AS154" si="111">AT98+AV98</f>
        <v>40000</v>
      </c>
      <c r="AS98" s="10">
        <f t="shared" si="111"/>
        <v>1</v>
      </c>
      <c r="AT98" s="10">
        <v>40000</v>
      </c>
      <c r="AU98" s="10">
        <f t="shared" ref="AU98:AU162" si="112">IF(AT98,1,0)</f>
        <v>1</v>
      </c>
      <c r="AV98" s="10">
        <v>0</v>
      </c>
      <c r="AW98" s="10"/>
      <c r="AX98" s="10">
        <f>AR98/0.7*0.3</f>
        <v>17142.857142857141</v>
      </c>
      <c r="AY98" s="10"/>
      <c r="AZ98" s="10"/>
      <c r="BA98" s="10">
        <v>0</v>
      </c>
      <c r="BB98" s="10">
        <v>0</v>
      </c>
      <c r="BC98" s="10">
        <f t="shared" si="100"/>
        <v>0</v>
      </c>
      <c r="BD98" s="10"/>
      <c r="BE98" s="26">
        <f t="shared" ref="BE98:BF142" si="113">BG98+BI98</f>
        <v>0</v>
      </c>
      <c r="BF98" s="122">
        <f t="shared" si="113"/>
        <v>0</v>
      </c>
      <c r="BG98" s="122"/>
      <c r="BH98" s="122">
        <f t="shared" ref="BH98:BH142" si="114">IF(BG98,1,0)</f>
        <v>0</v>
      </c>
      <c r="BI98" s="122"/>
      <c r="BJ98" s="122">
        <f t="shared" ref="BJ98:BJ161" si="115">IF(BI98,1,0)</f>
        <v>0</v>
      </c>
      <c r="BK98" s="122"/>
      <c r="BL98" s="122"/>
      <c r="BM98" s="122"/>
      <c r="BN98" s="122" t="s">
        <v>1572</v>
      </c>
      <c r="BO98" s="122" t="s">
        <v>1573</v>
      </c>
      <c r="BP98" s="122" t="s">
        <v>934</v>
      </c>
      <c r="BQ98" s="122" t="s">
        <v>933</v>
      </c>
      <c r="BR98" s="122" t="s">
        <v>932</v>
      </c>
      <c r="BS98" s="122" t="s">
        <v>931</v>
      </c>
      <c r="BT98" s="55" t="s">
        <v>935</v>
      </c>
    </row>
    <row r="99" spans="1:77" ht="47.25" hidden="1" customHeight="1" outlineLevel="1" x14ac:dyDescent="0.25">
      <c r="A99" s="124"/>
      <c r="B99" s="59">
        <v>2</v>
      </c>
      <c r="C99" s="122" t="s">
        <v>1265</v>
      </c>
      <c r="D99" s="122" t="s">
        <v>722</v>
      </c>
      <c r="E99" s="122" t="s">
        <v>9</v>
      </c>
      <c r="F99" s="122">
        <v>351058</v>
      </c>
      <c r="G99" s="122">
        <v>347558</v>
      </c>
      <c r="H99" s="122">
        <v>298857</v>
      </c>
      <c r="I99" s="122">
        <f t="shared" si="102"/>
        <v>48701</v>
      </c>
      <c r="J99" s="122">
        <v>1</v>
      </c>
      <c r="K99" s="122">
        <v>1</v>
      </c>
      <c r="L99" s="122"/>
      <c r="M99" s="122">
        <v>142857</v>
      </c>
      <c r="N99" s="122">
        <f t="shared" ref="N99:N110" si="116">AC99+AI99</f>
        <v>196484.28571428571</v>
      </c>
      <c r="O99" s="122">
        <v>142241</v>
      </c>
      <c r="P99" s="122">
        <v>1</v>
      </c>
      <c r="Q99" s="26">
        <v>142241</v>
      </c>
      <c r="R99" s="122">
        <v>1</v>
      </c>
      <c r="S99" s="122">
        <f t="shared" si="103"/>
        <v>4702</v>
      </c>
      <c r="T99" s="122"/>
      <c r="U99" s="26">
        <f t="shared" si="104"/>
        <v>137539</v>
      </c>
      <c r="V99" s="122">
        <f t="shared" si="104"/>
        <v>1</v>
      </c>
      <c r="W99" s="122">
        <v>137539</v>
      </c>
      <c r="X99" s="122">
        <f t="shared" si="105"/>
        <v>1</v>
      </c>
      <c r="Y99" s="122"/>
      <c r="Z99" s="122">
        <f t="shared" si="106"/>
        <v>0</v>
      </c>
      <c r="AA99" s="122">
        <v>0</v>
      </c>
      <c r="AB99" s="122"/>
      <c r="AC99" s="26">
        <f t="shared" si="107"/>
        <v>137539</v>
      </c>
      <c r="AD99" s="122">
        <f t="shared" si="107"/>
        <v>1</v>
      </c>
      <c r="AE99" s="122">
        <f>137539</f>
        <v>137539</v>
      </c>
      <c r="AF99" s="122">
        <f t="shared" si="108"/>
        <v>1</v>
      </c>
      <c r="AG99" s="122"/>
      <c r="AH99" s="122">
        <f t="shared" si="109"/>
        <v>0</v>
      </c>
      <c r="AI99" s="122">
        <f t="shared" ref="AI99:AI110" si="117">AC99/0.7*0.3</f>
        <v>58945.285714285717</v>
      </c>
      <c r="AJ99" s="122">
        <v>1</v>
      </c>
      <c r="AK99" s="122"/>
      <c r="AL99" s="122">
        <v>0</v>
      </c>
      <c r="AM99" s="122">
        <v>0</v>
      </c>
      <c r="AN99" s="122">
        <f t="shared" si="110"/>
        <v>-50000</v>
      </c>
      <c r="AO99" s="122"/>
      <c r="AP99" s="122">
        <f t="shared" ref="AP99:AP110" si="118">U99-AC99</f>
        <v>0</v>
      </c>
      <c r="AQ99" s="122"/>
      <c r="AR99" s="34">
        <f t="shared" si="111"/>
        <v>50000</v>
      </c>
      <c r="AS99" s="10">
        <f t="shared" si="111"/>
        <v>1</v>
      </c>
      <c r="AT99" s="10">
        <f>50000</f>
        <v>50000</v>
      </c>
      <c r="AU99" s="10">
        <f t="shared" si="112"/>
        <v>1</v>
      </c>
      <c r="AV99" s="10"/>
      <c r="AW99" s="10">
        <f t="shared" ref="AW99:AW162" si="119">IF(AV99,1,0)</f>
        <v>0</v>
      </c>
      <c r="AX99" s="10">
        <f>AR99/0.7*0.3</f>
        <v>21428.571428571431</v>
      </c>
      <c r="AY99" s="10"/>
      <c r="AZ99" s="10"/>
      <c r="BA99" s="10">
        <v>0</v>
      </c>
      <c r="BB99" s="10">
        <v>0</v>
      </c>
      <c r="BC99" s="10">
        <f t="shared" si="100"/>
        <v>0</v>
      </c>
      <c r="BD99" s="10"/>
      <c r="BE99" s="26">
        <f t="shared" si="113"/>
        <v>0</v>
      </c>
      <c r="BF99" s="122">
        <f t="shared" si="113"/>
        <v>0</v>
      </c>
      <c r="BG99" s="122"/>
      <c r="BH99" s="122">
        <f t="shared" si="114"/>
        <v>0</v>
      </c>
      <c r="BI99" s="122"/>
      <c r="BJ99" s="122">
        <f t="shared" si="115"/>
        <v>0</v>
      </c>
      <c r="BK99" s="122"/>
      <c r="BL99" s="122"/>
      <c r="BM99" s="122"/>
      <c r="BN99" s="122" t="s">
        <v>900</v>
      </c>
      <c r="BO99" s="122" t="s">
        <v>1574</v>
      </c>
      <c r="BP99" s="122" t="s">
        <v>939</v>
      </c>
      <c r="BQ99" s="122" t="s">
        <v>938</v>
      </c>
      <c r="BR99" s="122" t="s">
        <v>937</v>
      </c>
      <c r="BS99" s="122" t="s">
        <v>936</v>
      </c>
      <c r="BT99" s="55" t="s">
        <v>940</v>
      </c>
    </row>
    <row r="100" spans="1:77" ht="54.75" hidden="1" customHeight="1" outlineLevel="1" x14ac:dyDescent="0.25">
      <c r="A100" s="124"/>
      <c r="B100" s="59">
        <v>3</v>
      </c>
      <c r="C100" s="122" t="s">
        <v>1188</v>
      </c>
      <c r="D100" s="122" t="s">
        <v>281</v>
      </c>
      <c r="E100" s="122" t="s">
        <v>9</v>
      </c>
      <c r="F100" s="122">
        <v>315962.90000000002</v>
      </c>
      <c r="G100" s="122">
        <v>312463</v>
      </c>
      <c r="H100" s="67">
        <v>302520</v>
      </c>
      <c r="I100" s="122">
        <f t="shared" si="102"/>
        <v>9943</v>
      </c>
      <c r="J100" s="122">
        <v>1</v>
      </c>
      <c r="K100" s="122">
        <v>1</v>
      </c>
      <c r="L100" s="122">
        <v>1</v>
      </c>
      <c r="M100" s="122">
        <v>156231</v>
      </c>
      <c r="N100" s="122">
        <f t="shared" si="116"/>
        <v>147172.85714285716</v>
      </c>
      <c r="O100" s="122">
        <v>109362</v>
      </c>
      <c r="P100" s="122">
        <v>1</v>
      </c>
      <c r="Q100" s="26">
        <v>109362</v>
      </c>
      <c r="R100" s="122">
        <v>1</v>
      </c>
      <c r="S100" s="122">
        <f t="shared" si="103"/>
        <v>6341</v>
      </c>
      <c r="T100" s="122"/>
      <c r="U100" s="26">
        <f t="shared" si="104"/>
        <v>102402</v>
      </c>
      <c r="V100" s="122">
        <f t="shared" si="104"/>
        <v>1</v>
      </c>
      <c r="W100" s="122">
        <v>102402</v>
      </c>
      <c r="X100" s="122">
        <f t="shared" si="105"/>
        <v>1</v>
      </c>
      <c r="Y100" s="122"/>
      <c r="Z100" s="122">
        <f t="shared" si="106"/>
        <v>0</v>
      </c>
      <c r="AA100" s="122"/>
      <c r="AB100" s="122">
        <v>619</v>
      </c>
      <c r="AC100" s="26">
        <f t="shared" si="107"/>
        <v>103021</v>
      </c>
      <c r="AD100" s="122">
        <f t="shared" si="107"/>
        <v>1</v>
      </c>
      <c r="AE100" s="122">
        <f>102402+619</f>
        <v>103021</v>
      </c>
      <c r="AF100" s="122">
        <f t="shared" si="108"/>
        <v>1</v>
      </c>
      <c r="AG100" s="122"/>
      <c r="AH100" s="122">
        <f t="shared" si="109"/>
        <v>0</v>
      </c>
      <c r="AI100" s="122">
        <f t="shared" si="117"/>
        <v>44151.857142857145</v>
      </c>
      <c r="AJ100" s="122">
        <v>1</v>
      </c>
      <c r="AK100" s="122"/>
      <c r="AL100" s="122">
        <v>0</v>
      </c>
      <c r="AM100" s="122">
        <v>0</v>
      </c>
      <c r="AN100" s="122">
        <f t="shared" si="110"/>
        <v>-24051</v>
      </c>
      <c r="AO100" s="122"/>
      <c r="AP100" s="122">
        <f t="shared" si="118"/>
        <v>-619</v>
      </c>
      <c r="AQ100" s="122"/>
      <c r="AR100" s="34">
        <f t="shared" si="111"/>
        <v>24051</v>
      </c>
      <c r="AS100" s="10">
        <f t="shared" si="111"/>
        <v>1</v>
      </c>
      <c r="AT100" s="10">
        <f>24051</f>
        <v>24051</v>
      </c>
      <c r="AU100" s="10">
        <f t="shared" si="112"/>
        <v>1</v>
      </c>
      <c r="AV100" s="10"/>
      <c r="AW100" s="10">
        <f t="shared" si="119"/>
        <v>0</v>
      </c>
      <c r="AX100" s="10">
        <f>AR100/0.7*0.3</f>
        <v>10307.571428571428</v>
      </c>
      <c r="AY100" s="10"/>
      <c r="AZ100" s="10"/>
      <c r="BA100" s="10">
        <v>0</v>
      </c>
      <c r="BB100" s="10">
        <v>0</v>
      </c>
      <c r="BC100" s="10">
        <f t="shared" si="100"/>
        <v>0</v>
      </c>
      <c r="BD100" s="10"/>
      <c r="BE100" s="26">
        <f t="shared" si="113"/>
        <v>0</v>
      </c>
      <c r="BF100" s="122">
        <f t="shared" si="113"/>
        <v>0</v>
      </c>
      <c r="BG100" s="122"/>
      <c r="BH100" s="122">
        <f t="shared" si="114"/>
        <v>0</v>
      </c>
      <c r="BI100" s="122"/>
      <c r="BJ100" s="122">
        <f t="shared" si="115"/>
        <v>0</v>
      </c>
      <c r="BK100" s="122"/>
      <c r="BL100" s="122"/>
      <c r="BM100" s="122"/>
      <c r="BN100" s="122" t="s">
        <v>1575</v>
      </c>
      <c r="BO100" s="122" t="s">
        <v>1576</v>
      </c>
      <c r="BP100" s="122" t="s">
        <v>1189</v>
      </c>
      <c r="BQ100" s="122" t="s">
        <v>941</v>
      </c>
      <c r="BR100" s="122" t="s">
        <v>942</v>
      </c>
      <c r="BS100" s="122" t="s">
        <v>949</v>
      </c>
      <c r="BT100" s="55" t="s">
        <v>943</v>
      </c>
    </row>
    <row r="101" spans="1:77" ht="75" hidden="1" customHeight="1" outlineLevel="1" x14ac:dyDescent="0.25">
      <c r="A101" s="124"/>
      <c r="B101" s="59"/>
      <c r="C101" s="112" t="s">
        <v>1935</v>
      </c>
      <c r="D101" s="122" t="s">
        <v>2062</v>
      </c>
      <c r="E101" s="122" t="s">
        <v>196</v>
      </c>
      <c r="F101" s="122">
        <v>647281</v>
      </c>
      <c r="G101" s="122">
        <v>639000.65599999996</v>
      </c>
      <c r="H101" s="67"/>
      <c r="I101" s="122"/>
      <c r="J101" s="122"/>
      <c r="K101" s="122"/>
      <c r="L101" s="122"/>
      <c r="M101" s="122">
        <v>595526</v>
      </c>
      <c r="N101" s="122">
        <f t="shared" si="116"/>
        <v>43472.857142857145</v>
      </c>
      <c r="O101" s="122"/>
      <c r="P101" s="122"/>
      <c r="Q101" s="26"/>
      <c r="R101" s="122"/>
      <c r="S101" s="122"/>
      <c r="T101" s="122"/>
      <c r="U101" s="26"/>
      <c r="V101" s="122"/>
      <c r="W101" s="122"/>
      <c r="X101" s="122"/>
      <c r="Y101" s="122"/>
      <c r="Z101" s="122"/>
      <c r="AA101" s="122"/>
      <c r="AB101" s="122">
        <v>30431</v>
      </c>
      <c r="AC101" s="26">
        <f t="shared" si="107"/>
        <v>30431</v>
      </c>
      <c r="AD101" s="122">
        <f t="shared" si="107"/>
        <v>1</v>
      </c>
      <c r="AE101" s="122">
        <v>30431</v>
      </c>
      <c r="AF101" s="122">
        <f t="shared" si="108"/>
        <v>1</v>
      </c>
      <c r="AG101" s="122"/>
      <c r="AH101" s="122"/>
      <c r="AI101" s="122">
        <f t="shared" si="117"/>
        <v>13041.857142857143</v>
      </c>
      <c r="AJ101" s="122"/>
      <c r="AK101" s="122"/>
      <c r="AL101" s="122"/>
      <c r="AM101" s="122"/>
      <c r="AN101" s="122"/>
      <c r="AO101" s="122"/>
      <c r="AP101" s="122">
        <f t="shared" si="118"/>
        <v>-30431</v>
      </c>
      <c r="AQ101" s="122"/>
      <c r="AR101" s="34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26"/>
      <c r="BF101" s="122"/>
      <c r="BG101" s="122"/>
      <c r="BH101" s="122"/>
      <c r="BI101" s="122"/>
      <c r="BJ101" s="122"/>
      <c r="BK101" s="122"/>
      <c r="BL101" s="122"/>
      <c r="BM101" s="122"/>
      <c r="BN101" s="122" t="s">
        <v>1947</v>
      </c>
      <c r="BO101" s="122" t="s">
        <v>1948</v>
      </c>
      <c r="BP101" s="122" t="s">
        <v>1949</v>
      </c>
      <c r="BQ101" s="122" t="s">
        <v>1950</v>
      </c>
      <c r="BR101" s="122" t="s">
        <v>1951</v>
      </c>
      <c r="BS101" s="122" t="s">
        <v>1952</v>
      </c>
      <c r="BT101" s="55"/>
    </row>
    <row r="102" spans="1:77" ht="54.75" hidden="1" customHeight="1" outlineLevel="1" x14ac:dyDescent="0.25">
      <c r="A102" s="124"/>
      <c r="B102" s="59"/>
      <c r="C102" s="112" t="s">
        <v>1936</v>
      </c>
      <c r="D102" s="122" t="s">
        <v>2063</v>
      </c>
      <c r="E102" s="122" t="s">
        <v>196</v>
      </c>
      <c r="F102" s="122">
        <v>736679</v>
      </c>
      <c r="G102" s="122">
        <v>699419.86399999994</v>
      </c>
      <c r="H102" s="67"/>
      <c r="I102" s="122"/>
      <c r="J102" s="122"/>
      <c r="K102" s="122"/>
      <c r="L102" s="122"/>
      <c r="M102" s="122">
        <v>463803</v>
      </c>
      <c r="N102" s="122">
        <f t="shared" si="116"/>
        <v>92760</v>
      </c>
      <c r="O102" s="122"/>
      <c r="P102" s="122"/>
      <c r="Q102" s="26"/>
      <c r="R102" s="122"/>
      <c r="S102" s="122"/>
      <c r="T102" s="122"/>
      <c r="U102" s="26"/>
      <c r="V102" s="122"/>
      <c r="W102" s="122"/>
      <c r="X102" s="122"/>
      <c r="Y102" s="122"/>
      <c r="Z102" s="122"/>
      <c r="AA102" s="122"/>
      <c r="AB102" s="122">
        <v>64932</v>
      </c>
      <c r="AC102" s="26">
        <f t="shared" si="107"/>
        <v>64932</v>
      </c>
      <c r="AD102" s="122">
        <f t="shared" si="107"/>
        <v>1</v>
      </c>
      <c r="AE102" s="122">
        <v>64932</v>
      </c>
      <c r="AF102" s="122">
        <f t="shared" si="108"/>
        <v>1</v>
      </c>
      <c r="AG102" s="122"/>
      <c r="AH102" s="122"/>
      <c r="AI102" s="122">
        <f t="shared" si="117"/>
        <v>27828</v>
      </c>
      <c r="AJ102" s="122"/>
      <c r="AK102" s="122"/>
      <c r="AL102" s="122"/>
      <c r="AM102" s="122"/>
      <c r="AN102" s="122"/>
      <c r="AO102" s="122"/>
      <c r="AP102" s="122">
        <f t="shared" si="118"/>
        <v>-64932</v>
      </c>
      <c r="AQ102" s="122"/>
      <c r="AR102" s="34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26"/>
      <c r="BF102" s="122"/>
      <c r="BG102" s="122"/>
      <c r="BH102" s="122"/>
      <c r="BI102" s="122"/>
      <c r="BJ102" s="122"/>
      <c r="BK102" s="122"/>
      <c r="BL102" s="122"/>
      <c r="BM102" s="122"/>
      <c r="BN102" s="122" t="s">
        <v>1953</v>
      </c>
      <c r="BO102" s="122" t="s">
        <v>1954</v>
      </c>
      <c r="BP102" s="122" t="s">
        <v>1955</v>
      </c>
      <c r="BQ102" s="122" t="s">
        <v>1956</v>
      </c>
      <c r="BR102" s="122" t="s">
        <v>1957</v>
      </c>
      <c r="BS102" s="122"/>
      <c r="BT102" s="55"/>
    </row>
    <row r="103" spans="1:77" ht="54.75" hidden="1" customHeight="1" outlineLevel="1" x14ac:dyDescent="0.25">
      <c r="A103" s="124"/>
      <c r="B103" s="59"/>
      <c r="C103" s="112" t="s">
        <v>1937</v>
      </c>
      <c r="D103" s="122" t="s">
        <v>2064</v>
      </c>
      <c r="E103" s="122" t="s">
        <v>9</v>
      </c>
      <c r="F103" s="122">
        <v>326635.5</v>
      </c>
      <c r="G103" s="122">
        <v>321636</v>
      </c>
      <c r="H103" s="67"/>
      <c r="I103" s="122"/>
      <c r="J103" s="122"/>
      <c r="K103" s="122"/>
      <c r="L103" s="122"/>
      <c r="M103" s="122">
        <v>294939</v>
      </c>
      <c r="N103" s="122">
        <f t="shared" si="116"/>
        <v>26697.142857142855</v>
      </c>
      <c r="O103" s="122"/>
      <c r="P103" s="122"/>
      <c r="Q103" s="26"/>
      <c r="R103" s="122"/>
      <c r="S103" s="122"/>
      <c r="T103" s="122"/>
      <c r="U103" s="26"/>
      <c r="V103" s="122"/>
      <c r="W103" s="122"/>
      <c r="X103" s="122"/>
      <c r="Y103" s="122"/>
      <c r="Z103" s="122"/>
      <c r="AA103" s="122"/>
      <c r="AB103" s="122">
        <v>18688</v>
      </c>
      <c r="AC103" s="26">
        <f t="shared" si="107"/>
        <v>18688</v>
      </c>
      <c r="AD103" s="122">
        <f t="shared" si="107"/>
        <v>1</v>
      </c>
      <c r="AE103" s="122">
        <v>18688</v>
      </c>
      <c r="AF103" s="122">
        <f t="shared" si="108"/>
        <v>1</v>
      </c>
      <c r="AG103" s="122"/>
      <c r="AH103" s="122"/>
      <c r="AI103" s="122">
        <f t="shared" si="117"/>
        <v>8009.1428571428569</v>
      </c>
      <c r="AJ103" s="122"/>
      <c r="AK103" s="122"/>
      <c r="AL103" s="122"/>
      <c r="AM103" s="122"/>
      <c r="AN103" s="122"/>
      <c r="AO103" s="122"/>
      <c r="AP103" s="122">
        <f t="shared" si="118"/>
        <v>-18688</v>
      </c>
      <c r="AQ103" s="122"/>
      <c r="AR103" s="34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26"/>
      <c r="BF103" s="122"/>
      <c r="BG103" s="122"/>
      <c r="BH103" s="122"/>
      <c r="BI103" s="122"/>
      <c r="BJ103" s="122"/>
      <c r="BK103" s="122"/>
      <c r="BL103" s="122"/>
      <c r="BM103" s="122"/>
      <c r="BN103" s="122" t="s">
        <v>1958</v>
      </c>
      <c r="BO103" s="122" t="s">
        <v>1959</v>
      </c>
      <c r="BP103" s="122" t="s">
        <v>1960</v>
      </c>
      <c r="BQ103" s="122" t="s">
        <v>1961</v>
      </c>
      <c r="BR103" s="122" t="s">
        <v>1962</v>
      </c>
      <c r="BS103" s="122" t="s">
        <v>1963</v>
      </c>
      <c r="BT103" s="55"/>
    </row>
    <row r="104" spans="1:77" ht="51" hidden="1" customHeight="1" outlineLevel="1" x14ac:dyDescent="0.25">
      <c r="A104" s="124"/>
      <c r="B104" s="59">
        <v>4</v>
      </c>
      <c r="C104" s="122" t="s">
        <v>1266</v>
      </c>
      <c r="D104" s="122" t="s">
        <v>1106</v>
      </c>
      <c r="E104" s="41" t="s">
        <v>10</v>
      </c>
      <c r="F104" s="41">
        <v>311260</v>
      </c>
      <c r="G104" s="122">
        <v>301460</v>
      </c>
      <c r="H104" s="122"/>
      <c r="I104" s="122"/>
      <c r="J104" s="122"/>
      <c r="K104" s="122"/>
      <c r="L104" s="122"/>
      <c r="M104" s="122">
        <v>0</v>
      </c>
      <c r="N104" s="122">
        <f t="shared" si="116"/>
        <v>0</v>
      </c>
      <c r="O104" s="122">
        <v>211022</v>
      </c>
      <c r="P104" s="122">
        <v>1</v>
      </c>
      <c r="Q104" s="26">
        <v>211022</v>
      </c>
      <c r="R104" s="122">
        <v>1</v>
      </c>
      <c r="S104" s="122">
        <f t="shared" si="103"/>
        <v>211022</v>
      </c>
      <c r="T104" s="122"/>
      <c r="U104" s="26">
        <f t="shared" ref="U104:V110" si="120">W104+Y104</f>
        <v>211022</v>
      </c>
      <c r="V104" s="122">
        <f t="shared" si="120"/>
        <v>1</v>
      </c>
      <c r="W104" s="122"/>
      <c r="X104" s="122">
        <f t="shared" ref="X104:X110" si="121">IF(W104,1,0)</f>
        <v>0</v>
      </c>
      <c r="Y104" s="122">
        <v>211022</v>
      </c>
      <c r="Z104" s="122">
        <f t="shared" ref="Z104:Z110" si="122">IF(Y104,1,0)</f>
        <v>1</v>
      </c>
      <c r="AA104" s="122">
        <v>-211022</v>
      </c>
      <c r="AB104" s="122"/>
      <c r="AC104" s="26">
        <f t="shared" si="107"/>
        <v>0</v>
      </c>
      <c r="AD104" s="122">
        <f t="shared" si="107"/>
        <v>0</v>
      </c>
      <c r="AE104" s="122"/>
      <c r="AF104" s="122">
        <f t="shared" si="108"/>
        <v>0</v>
      </c>
      <c r="AG104" s="122"/>
      <c r="AH104" s="122">
        <f t="shared" si="109"/>
        <v>0</v>
      </c>
      <c r="AI104" s="122">
        <f t="shared" si="117"/>
        <v>0</v>
      </c>
      <c r="AJ104" s="122">
        <v>1</v>
      </c>
      <c r="AK104" s="122"/>
      <c r="AL104" s="122">
        <v>0</v>
      </c>
      <c r="AM104" s="122">
        <v>0</v>
      </c>
      <c r="AN104" s="122">
        <f t="shared" si="110"/>
        <v>-211022</v>
      </c>
      <c r="AO104" s="122"/>
      <c r="AP104" s="122">
        <f t="shared" si="118"/>
        <v>211022</v>
      </c>
      <c r="AQ104" s="122"/>
      <c r="AR104" s="34">
        <f t="shared" si="111"/>
        <v>211022</v>
      </c>
      <c r="AS104" s="10">
        <f t="shared" si="111"/>
        <v>1</v>
      </c>
      <c r="AT104" s="10"/>
      <c r="AU104" s="10">
        <f t="shared" si="112"/>
        <v>0</v>
      </c>
      <c r="AV104" s="10">
        <f>211022</f>
        <v>211022</v>
      </c>
      <c r="AW104" s="10">
        <f t="shared" si="119"/>
        <v>1</v>
      </c>
      <c r="AX104" s="10">
        <f>AR104/0.7*0.3</f>
        <v>90438</v>
      </c>
      <c r="AY104" s="10"/>
      <c r="AZ104" s="10"/>
      <c r="BA104" s="10">
        <v>0</v>
      </c>
      <c r="BB104" s="10">
        <v>0</v>
      </c>
      <c r="BC104" s="10">
        <f t="shared" si="100"/>
        <v>0</v>
      </c>
      <c r="BD104" s="10"/>
      <c r="BE104" s="26">
        <f t="shared" si="113"/>
        <v>0</v>
      </c>
      <c r="BF104" s="122">
        <f t="shared" si="113"/>
        <v>0</v>
      </c>
      <c r="BG104" s="122"/>
      <c r="BH104" s="122">
        <f t="shared" si="114"/>
        <v>0</v>
      </c>
      <c r="BI104" s="122"/>
      <c r="BJ104" s="122">
        <f t="shared" si="115"/>
        <v>0</v>
      </c>
      <c r="BK104" s="122"/>
      <c r="BL104" s="122"/>
      <c r="BM104" s="122"/>
      <c r="BN104" s="122" t="s">
        <v>969</v>
      </c>
      <c r="BO104" s="122" t="s">
        <v>1577</v>
      </c>
      <c r="BP104" s="122" t="s">
        <v>972</v>
      </c>
      <c r="BQ104" s="122" t="s">
        <v>971</v>
      </c>
      <c r="BR104" s="122" t="s">
        <v>970</v>
      </c>
      <c r="BS104" s="122" t="s">
        <v>1107</v>
      </c>
      <c r="BT104" s="55" t="s">
        <v>1190</v>
      </c>
    </row>
    <row r="105" spans="1:77" ht="61.5" hidden="1" customHeight="1" outlineLevel="1" x14ac:dyDescent="0.25">
      <c r="A105" s="124"/>
      <c r="B105" s="59">
        <v>5</v>
      </c>
      <c r="C105" s="122" t="s">
        <v>1108</v>
      </c>
      <c r="D105" s="122" t="s">
        <v>1109</v>
      </c>
      <c r="E105" s="41">
        <v>2016</v>
      </c>
      <c r="F105" s="41">
        <v>538888</v>
      </c>
      <c r="G105" s="122">
        <v>520524</v>
      </c>
      <c r="H105" s="122"/>
      <c r="I105" s="122"/>
      <c r="J105" s="122"/>
      <c r="K105" s="122"/>
      <c r="L105" s="122"/>
      <c r="M105" s="122">
        <v>0</v>
      </c>
      <c r="N105" s="122">
        <f t="shared" si="116"/>
        <v>0</v>
      </c>
      <c r="O105" s="122">
        <v>364367</v>
      </c>
      <c r="P105" s="122">
        <v>1</v>
      </c>
      <c r="Q105" s="26">
        <v>0</v>
      </c>
      <c r="R105" s="122" t="s">
        <v>1828</v>
      </c>
      <c r="S105" s="122">
        <f t="shared" si="103"/>
        <v>0</v>
      </c>
      <c r="T105" s="122"/>
      <c r="U105" s="26">
        <f t="shared" si="120"/>
        <v>0</v>
      </c>
      <c r="V105" s="122">
        <f t="shared" si="120"/>
        <v>0</v>
      </c>
      <c r="W105" s="122"/>
      <c r="X105" s="122">
        <f t="shared" si="121"/>
        <v>0</v>
      </c>
      <c r="Y105" s="122"/>
      <c r="Z105" s="122">
        <f t="shared" si="122"/>
        <v>0</v>
      </c>
      <c r="AA105" s="122">
        <v>0</v>
      </c>
      <c r="AB105" s="122"/>
      <c r="AC105" s="26">
        <f t="shared" si="107"/>
        <v>0</v>
      </c>
      <c r="AD105" s="122">
        <f t="shared" si="107"/>
        <v>0</v>
      </c>
      <c r="AE105" s="122"/>
      <c r="AF105" s="122">
        <f t="shared" si="108"/>
        <v>0</v>
      </c>
      <c r="AG105" s="122"/>
      <c r="AH105" s="122">
        <f t="shared" si="109"/>
        <v>0</v>
      </c>
      <c r="AI105" s="122">
        <f t="shared" si="117"/>
        <v>0</v>
      </c>
      <c r="AJ105" s="122"/>
      <c r="AK105" s="122"/>
      <c r="AL105" s="122">
        <v>364367</v>
      </c>
      <c r="AM105" s="122">
        <v>1</v>
      </c>
      <c r="AN105" s="122">
        <f t="shared" si="110"/>
        <v>0</v>
      </c>
      <c r="AO105" s="122"/>
      <c r="AP105" s="122">
        <f t="shared" si="118"/>
        <v>0</v>
      </c>
      <c r="AQ105" s="122"/>
      <c r="AR105" s="34">
        <f t="shared" si="111"/>
        <v>364367</v>
      </c>
      <c r="AS105" s="10">
        <f t="shared" si="111"/>
        <v>1</v>
      </c>
      <c r="AT105" s="10"/>
      <c r="AU105" s="10">
        <f t="shared" si="112"/>
        <v>0</v>
      </c>
      <c r="AV105" s="10">
        <v>364367</v>
      </c>
      <c r="AW105" s="10">
        <f t="shared" si="119"/>
        <v>1</v>
      </c>
      <c r="AX105" s="10">
        <f t="shared" ref="AX105:AX110" si="123">AR105/0.7*0.3</f>
        <v>156157.28571428571</v>
      </c>
      <c r="AY105" s="10">
        <v>1</v>
      </c>
      <c r="AZ105" s="10"/>
      <c r="BA105" s="10">
        <v>0</v>
      </c>
      <c r="BB105" s="10">
        <v>0</v>
      </c>
      <c r="BC105" s="10">
        <f t="shared" si="100"/>
        <v>0</v>
      </c>
      <c r="BD105" s="10"/>
      <c r="BE105" s="26">
        <f t="shared" si="113"/>
        <v>0</v>
      </c>
      <c r="BF105" s="122">
        <f t="shared" si="113"/>
        <v>0</v>
      </c>
      <c r="BG105" s="122"/>
      <c r="BH105" s="122">
        <f t="shared" si="114"/>
        <v>0</v>
      </c>
      <c r="BI105" s="122"/>
      <c r="BJ105" s="122">
        <f t="shared" si="115"/>
        <v>0</v>
      </c>
      <c r="BK105" s="122"/>
      <c r="BL105" s="122"/>
      <c r="BM105" s="122"/>
      <c r="BN105" s="122" t="s">
        <v>948</v>
      </c>
      <c r="BO105" s="122" t="s">
        <v>1578</v>
      </c>
      <c r="BP105" s="122" t="s">
        <v>952</v>
      </c>
      <c r="BQ105" s="122" t="s">
        <v>951</v>
      </c>
      <c r="BR105" s="122" t="s">
        <v>950</v>
      </c>
      <c r="BS105" s="122" t="s">
        <v>949</v>
      </c>
      <c r="BT105" s="55" t="s">
        <v>953</v>
      </c>
    </row>
    <row r="106" spans="1:77" ht="55.5" hidden="1" customHeight="1" outlineLevel="1" x14ac:dyDescent="0.25">
      <c r="A106" s="124"/>
      <c r="B106" s="59">
        <v>6</v>
      </c>
      <c r="C106" s="67" t="s">
        <v>1267</v>
      </c>
      <c r="D106" s="122" t="s">
        <v>1100</v>
      </c>
      <c r="E106" s="41" t="s">
        <v>10</v>
      </c>
      <c r="F106" s="41">
        <v>563993</v>
      </c>
      <c r="G106" s="122">
        <v>558093</v>
      </c>
      <c r="H106" s="122"/>
      <c r="I106" s="122"/>
      <c r="J106" s="122"/>
      <c r="K106" s="122"/>
      <c r="L106" s="122"/>
      <c r="M106" s="122">
        <v>0</v>
      </c>
      <c r="N106" s="122">
        <f t="shared" si="116"/>
        <v>0</v>
      </c>
      <c r="O106" s="122">
        <v>390665</v>
      </c>
      <c r="P106" s="122">
        <v>1</v>
      </c>
      <c r="Q106" s="26">
        <v>100000</v>
      </c>
      <c r="R106" s="122">
        <v>1</v>
      </c>
      <c r="S106" s="122">
        <f t="shared" si="103"/>
        <v>100000</v>
      </c>
      <c r="T106" s="122"/>
      <c r="U106" s="26">
        <f t="shared" si="120"/>
        <v>100000</v>
      </c>
      <c r="V106" s="122">
        <f t="shared" si="120"/>
        <v>1</v>
      </c>
      <c r="W106" s="122"/>
      <c r="X106" s="122">
        <f t="shared" si="121"/>
        <v>0</v>
      </c>
      <c r="Y106" s="122">
        <v>100000</v>
      </c>
      <c r="Z106" s="122">
        <f t="shared" si="122"/>
        <v>1</v>
      </c>
      <c r="AA106" s="122">
        <v>-100000</v>
      </c>
      <c r="AB106" s="122"/>
      <c r="AC106" s="26">
        <f t="shared" si="107"/>
        <v>0</v>
      </c>
      <c r="AD106" s="122">
        <f t="shared" si="107"/>
        <v>0</v>
      </c>
      <c r="AE106" s="122"/>
      <c r="AF106" s="122">
        <f t="shared" si="108"/>
        <v>0</v>
      </c>
      <c r="AG106" s="122"/>
      <c r="AH106" s="122">
        <f t="shared" si="109"/>
        <v>0</v>
      </c>
      <c r="AI106" s="122">
        <f t="shared" si="117"/>
        <v>0</v>
      </c>
      <c r="AJ106" s="122"/>
      <c r="AK106" s="122">
        <v>1</v>
      </c>
      <c r="AL106" s="122">
        <v>290665</v>
      </c>
      <c r="AM106" s="122">
        <v>1</v>
      </c>
      <c r="AN106" s="122">
        <f t="shared" si="110"/>
        <v>-100000</v>
      </c>
      <c r="AO106" s="122"/>
      <c r="AP106" s="122">
        <f t="shared" si="118"/>
        <v>100000</v>
      </c>
      <c r="AQ106" s="122"/>
      <c r="AR106" s="34">
        <f t="shared" si="111"/>
        <v>390665</v>
      </c>
      <c r="AS106" s="10">
        <f t="shared" si="111"/>
        <v>1</v>
      </c>
      <c r="AT106" s="10"/>
      <c r="AU106" s="10">
        <f t="shared" si="112"/>
        <v>0</v>
      </c>
      <c r="AV106" s="10">
        <f>390665</f>
        <v>390665</v>
      </c>
      <c r="AW106" s="10">
        <f t="shared" si="119"/>
        <v>1</v>
      </c>
      <c r="AX106" s="10">
        <f t="shared" si="123"/>
        <v>167427.85714285713</v>
      </c>
      <c r="AY106" s="10">
        <v>1</v>
      </c>
      <c r="AZ106" s="10"/>
      <c r="BA106" s="10">
        <v>0</v>
      </c>
      <c r="BB106" s="10">
        <v>0</v>
      </c>
      <c r="BC106" s="10">
        <f t="shared" si="100"/>
        <v>0</v>
      </c>
      <c r="BD106" s="10"/>
      <c r="BE106" s="26">
        <f t="shared" si="113"/>
        <v>0</v>
      </c>
      <c r="BF106" s="122">
        <f t="shared" si="113"/>
        <v>0</v>
      </c>
      <c r="BG106" s="122"/>
      <c r="BH106" s="122">
        <f t="shared" si="114"/>
        <v>0</v>
      </c>
      <c r="BI106" s="122"/>
      <c r="BJ106" s="122">
        <f t="shared" si="115"/>
        <v>0</v>
      </c>
      <c r="BK106" s="122"/>
      <c r="BL106" s="122"/>
      <c r="BM106" s="122"/>
      <c r="BN106" s="122" t="s">
        <v>904</v>
      </c>
      <c r="BO106" s="122" t="s">
        <v>1579</v>
      </c>
      <c r="BP106" s="122" t="s">
        <v>964</v>
      </c>
      <c r="BQ106" s="122" t="s">
        <v>963</v>
      </c>
      <c r="BR106" s="122" t="s">
        <v>962</v>
      </c>
      <c r="BS106" s="122" t="s">
        <v>1268</v>
      </c>
      <c r="BT106" s="55" t="s">
        <v>965</v>
      </c>
    </row>
    <row r="107" spans="1:77" ht="59.25" hidden="1" customHeight="1" outlineLevel="1" x14ac:dyDescent="0.25">
      <c r="A107" s="124"/>
      <c r="B107" s="59">
        <v>7</v>
      </c>
      <c r="C107" s="67" t="s">
        <v>1269</v>
      </c>
      <c r="D107" s="122" t="s">
        <v>1101</v>
      </c>
      <c r="E107" s="41" t="s">
        <v>10</v>
      </c>
      <c r="F107" s="41">
        <v>555420</v>
      </c>
      <c r="G107" s="122">
        <v>548920</v>
      </c>
      <c r="H107" s="122"/>
      <c r="I107" s="122"/>
      <c r="J107" s="122"/>
      <c r="K107" s="122"/>
      <c r="L107" s="122"/>
      <c r="M107" s="122">
        <v>0</v>
      </c>
      <c r="N107" s="122">
        <f t="shared" si="116"/>
        <v>0</v>
      </c>
      <c r="O107" s="122">
        <v>384244</v>
      </c>
      <c r="P107" s="122">
        <v>1</v>
      </c>
      <c r="Q107" s="26">
        <v>118149</v>
      </c>
      <c r="R107" s="122">
        <v>1</v>
      </c>
      <c r="S107" s="122">
        <f t="shared" si="103"/>
        <v>118149</v>
      </c>
      <c r="T107" s="122"/>
      <c r="U107" s="26">
        <f t="shared" si="120"/>
        <v>118149</v>
      </c>
      <c r="V107" s="122">
        <f t="shared" si="120"/>
        <v>1</v>
      </c>
      <c r="W107" s="122"/>
      <c r="X107" s="122">
        <f t="shared" si="121"/>
        <v>0</v>
      </c>
      <c r="Y107" s="122">
        <v>118149</v>
      </c>
      <c r="Z107" s="122">
        <f t="shared" si="122"/>
        <v>1</v>
      </c>
      <c r="AA107" s="122">
        <v>-118149</v>
      </c>
      <c r="AB107" s="122"/>
      <c r="AC107" s="26">
        <f t="shared" si="107"/>
        <v>0</v>
      </c>
      <c r="AD107" s="122">
        <f t="shared" si="107"/>
        <v>0</v>
      </c>
      <c r="AE107" s="122"/>
      <c r="AF107" s="122">
        <f t="shared" si="108"/>
        <v>0</v>
      </c>
      <c r="AG107" s="122"/>
      <c r="AH107" s="122">
        <f t="shared" si="109"/>
        <v>0</v>
      </c>
      <c r="AI107" s="122">
        <f t="shared" si="117"/>
        <v>0</v>
      </c>
      <c r="AJ107" s="122"/>
      <c r="AK107" s="122">
        <v>1</v>
      </c>
      <c r="AL107" s="122">
        <v>266095</v>
      </c>
      <c r="AM107" s="122">
        <v>1</v>
      </c>
      <c r="AN107" s="122">
        <f t="shared" si="110"/>
        <v>-118149</v>
      </c>
      <c r="AO107" s="122"/>
      <c r="AP107" s="122">
        <f t="shared" si="118"/>
        <v>118149</v>
      </c>
      <c r="AQ107" s="122"/>
      <c r="AR107" s="34">
        <f t="shared" si="111"/>
        <v>384244</v>
      </c>
      <c r="AS107" s="10">
        <f t="shared" si="111"/>
        <v>1</v>
      </c>
      <c r="AT107" s="10"/>
      <c r="AU107" s="10">
        <f t="shared" si="112"/>
        <v>0</v>
      </c>
      <c r="AV107" s="10">
        <f>266095+118149</f>
        <v>384244</v>
      </c>
      <c r="AW107" s="10">
        <f t="shared" si="119"/>
        <v>1</v>
      </c>
      <c r="AX107" s="10">
        <f t="shared" si="123"/>
        <v>164676</v>
      </c>
      <c r="AY107" s="10">
        <v>1</v>
      </c>
      <c r="AZ107" s="10"/>
      <c r="BA107" s="10">
        <v>0</v>
      </c>
      <c r="BB107" s="10">
        <v>0</v>
      </c>
      <c r="BC107" s="10">
        <f t="shared" si="100"/>
        <v>0</v>
      </c>
      <c r="BD107" s="10"/>
      <c r="BE107" s="26">
        <f t="shared" si="113"/>
        <v>0</v>
      </c>
      <c r="BF107" s="122">
        <f t="shared" si="113"/>
        <v>0</v>
      </c>
      <c r="BG107" s="122"/>
      <c r="BH107" s="122">
        <f t="shared" si="114"/>
        <v>0</v>
      </c>
      <c r="BI107" s="122"/>
      <c r="BJ107" s="122">
        <f t="shared" si="115"/>
        <v>0</v>
      </c>
      <c r="BK107" s="122"/>
      <c r="BL107" s="122"/>
      <c r="BM107" s="122"/>
      <c r="BN107" s="122" t="s">
        <v>905</v>
      </c>
      <c r="BO107" s="122" t="s">
        <v>1580</v>
      </c>
      <c r="BP107" s="122" t="s">
        <v>960</v>
      </c>
      <c r="BQ107" s="122" t="s">
        <v>959</v>
      </c>
      <c r="BR107" s="122" t="s">
        <v>958</v>
      </c>
      <c r="BS107" s="122" t="s">
        <v>957</v>
      </c>
      <c r="BT107" s="55" t="s">
        <v>961</v>
      </c>
    </row>
    <row r="108" spans="1:77" ht="45" hidden="1" customHeight="1" outlineLevel="1" x14ac:dyDescent="0.25">
      <c r="A108" s="124"/>
      <c r="B108" s="59">
        <v>8</v>
      </c>
      <c r="C108" s="67" t="s">
        <v>1103</v>
      </c>
      <c r="D108" s="122" t="s">
        <v>1102</v>
      </c>
      <c r="E108" s="41">
        <v>2015</v>
      </c>
      <c r="F108" s="41">
        <v>295898</v>
      </c>
      <c r="G108" s="122">
        <v>286898</v>
      </c>
      <c r="H108" s="122"/>
      <c r="I108" s="122"/>
      <c r="J108" s="122"/>
      <c r="K108" s="122"/>
      <c r="L108" s="122"/>
      <c r="M108" s="122">
        <v>0</v>
      </c>
      <c r="N108" s="122">
        <f t="shared" si="116"/>
        <v>0</v>
      </c>
      <c r="O108" s="122">
        <v>200829</v>
      </c>
      <c r="P108" s="122">
        <v>1</v>
      </c>
      <c r="Q108" s="26">
        <v>200829</v>
      </c>
      <c r="R108" s="122">
        <v>1</v>
      </c>
      <c r="S108" s="122">
        <f t="shared" si="103"/>
        <v>200829</v>
      </c>
      <c r="T108" s="122"/>
      <c r="U108" s="26">
        <f t="shared" si="120"/>
        <v>200829</v>
      </c>
      <c r="V108" s="122">
        <f t="shared" si="120"/>
        <v>1</v>
      </c>
      <c r="W108" s="122"/>
      <c r="X108" s="122">
        <f t="shared" si="121"/>
        <v>0</v>
      </c>
      <c r="Y108" s="122">
        <v>200829</v>
      </c>
      <c r="Z108" s="122">
        <f t="shared" si="122"/>
        <v>1</v>
      </c>
      <c r="AA108" s="122">
        <v>-200829</v>
      </c>
      <c r="AB108" s="122"/>
      <c r="AC108" s="26">
        <f t="shared" si="107"/>
        <v>0</v>
      </c>
      <c r="AD108" s="122">
        <f t="shared" si="107"/>
        <v>0</v>
      </c>
      <c r="AE108" s="122"/>
      <c r="AF108" s="122">
        <f t="shared" si="108"/>
        <v>0</v>
      </c>
      <c r="AG108" s="122"/>
      <c r="AH108" s="122">
        <f t="shared" si="109"/>
        <v>0</v>
      </c>
      <c r="AI108" s="122">
        <f t="shared" si="117"/>
        <v>0</v>
      </c>
      <c r="AJ108" s="122">
        <v>1</v>
      </c>
      <c r="AK108" s="122"/>
      <c r="AL108" s="122">
        <v>0</v>
      </c>
      <c r="AM108" s="122">
        <v>0</v>
      </c>
      <c r="AN108" s="122">
        <f t="shared" si="110"/>
        <v>-200829</v>
      </c>
      <c r="AO108" s="122"/>
      <c r="AP108" s="122">
        <f t="shared" si="118"/>
        <v>200829</v>
      </c>
      <c r="AQ108" s="122"/>
      <c r="AR108" s="34">
        <f t="shared" si="111"/>
        <v>200829</v>
      </c>
      <c r="AS108" s="10">
        <f t="shared" si="111"/>
        <v>1</v>
      </c>
      <c r="AT108" s="10"/>
      <c r="AU108" s="10">
        <f t="shared" si="112"/>
        <v>0</v>
      </c>
      <c r="AV108" s="10">
        <f>200829</f>
        <v>200829</v>
      </c>
      <c r="AW108" s="10">
        <f t="shared" si="119"/>
        <v>1</v>
      </c>
      <c r="AX108" s="10">
        <f t="shared" si="123"/>
        <v>86069.57142857142</v>
      </c>
      <c r="AY108" s="10"/>
      <c r="AZ108" s="10"/>
      <c r="BA108" s="10">
        <v>0</v>
      </c>
      <c r="BB108" s="10">
        <v>0</v>
      </c>
      <c r="BC108" s="10">
        <f t="shared" si="100"/>
        <v>0</v>
      </c>
      <c r="BD108" s="10"/>
      <c r="BE108" s="26">
        <f t="shared" si="113"/>
        <v>0</v>
      </c>
      <c r="BF108" s="122">
        <f t="shared" si="113"/>
        <v>0</v>
      </c>
      <c r="BG108" s="122"/>
      <c r="BH108" s="122">
        <f t="shared" si="114"/>
        <v>0</v>
      </c>
      <c r="BI108" s="122"/>
      <c r="BJ108" s="122">
        <f t="shared" si="115"/>
        <v>0</v>
      </c>
      <c r="BK108" s="122"/>
      <c r="BL108" s="122"/>
      <c r="BM108" s="122"/>
      <c r="BN108" s="122" t="s">
        <v>901</v>
      </c>
      <c r="BO108" s="122" t="s">
        <v>1581</v>
      </c>
      <c r="BP108" s="122" t="s">
        <v>956</v>
      </c>
      <c r="BQ108" s="122" t="s">
        <v>955</v>
      </c>
      <c r="BR108" s="122" t="s">
        <v>954</v>
      </c>
      <c r="BS108" s="122" t="s">
        <v>11</v>
      </c>
      <c r="BT108" s="55" t="s">
        <v>1271</v>
      </c>
    </row>
    <row r="109" spans="1:77" ht="48.75" hidden="1" customHeight="1" outlineLevel="1" x14ac:dyDescent="0.25">
      <c r="A109" s="124"/>
      <c r="B109" s="59">
        <v>9</v>
      </c>
      <c r="C109" s="67" t="s">
        <v>1460</v>
      </c>
      <c r="D109" s="122" t="s">
        <v>1104</v>
      </c>
      <c r="E109" s="41">
        <v>2016</v>
      </c>
      <c r="F109" s="41">
        <v>405088</v>
      </c>
      <c r="G109" s="122">
        <v>398588</v>
      </c>
      <c r="H109" s="122"/>
      <c r="I109" s="122"/>
      <c r="J109" s="122"/>
      <c r="K109" s="122"/>
      <c r="L109" s="122"/>
      <c r="M109" s="122">
        <v>0</v>
      </c>
      <c r="N109" s="122">
        <f t="shared" si="116"/>
        <v>0</v>
      </c>
      <c r="O109" s="122">
        <v>279012</v>
      </c>
      <c r="P109" s="122">
        <v>1</v>
      </c>
      <c r="Q109" s="26">
        <v>0</v>
      </c>
      <c r="R109" s="122">
        <v>0</v>
      </c>
      <c r="S109" s="122">
        <f t="shared" si="103"/>
        <v>0</v>
      </c>
      <c r="T109" s="122"/>
      <c r="U109" s="26">
        <v>0</v>
      </c>
      <c r="V109" s="122">
        <f t="shared" si="120"/>
        <v>0</v>
      </c>
      <c r="W109" s="122"/>
      <c r="X109" s="122">
        <f t="shared" si="121"/>
        <v>0</v>
      </c>
      <c r="Y109" s="122"/>
      <c r="Z109" s="122">
        <f t="shared" si="122"/>
        <v>0</v>
      </c>
      <c r="AA109" s="122">
        <v>0</v>
      </c>
      <c r="AB109" s="122"/>
      <c r="AC109" s="26">
        <v>0</v>
      </c>
      <c r="AD109" s="122">
        <f t="shared" si="107"/>
        <v>0</v>
      </c>
      <c r="AE109" s="122"/>
      <c r="AF109" s="122">
        <f t="shared" si="108"/>
        <v>0</v>
      </c>
      <c r="AG109" s="122"/>
      <c r="AH109" s="122">
        <f t="shared" si="109"/>
        <v>0</v>
      </c>
      <c r="AI109" s="122">
        <f t="shared" si="117"/>
        <v>0</v>
      </c>
      <c r="AJ109" s="122"/>
      <c r="AK109" s="122"/>
      <c r="AL109" s="122">
        <v>279012</v>
      </c>
      <c r="AM109" s="122">
        <v>1</v>
      </c>
      <c r="AN109" s="122">
        <f t="shared" si="110"/>
        <v>0</v>
      </c>
      <c r="AO109" s="122"/>
      <c r="AP109" s="122">
        <f t="shared" si="118"/>
        <v>0</v>
      </c>
      <c r="AQ109" s="122"/>
      <c r="AR109" s="34">
        <f t="shared" si="111"/>
        <v>279012</v>
      </c>
      <c r="AS109" s="10">
        <f t="shared" si="111"/>
        <v>1</v>
      </c>
      <c r="AT109" s="10"/>
      <c r="AU109" s="10">
        <f t="shared" si="112"/>
        <v>0</v>
      </c>
      <c r="AV109" s="10">
        <v>279012</v>
      </c>
      <c r="AW109" s="10">
        <f t="shared" si="119"/>
        <v>1</v>
      </c>
      <c r="AX109" s="10">
        <f t="shared" si="123"/>
        <v>119576.57142857143</v>
      </c>
      <c r="AY109" s="10">
        <v>1</v>
      </c>
      <c r="AZ109" s="10"/>
      <c r="BA109" s="10">
        <v>0</v>
      </c>
      <c r="BB109" s="10">
        <v>0</v>
      </c>
      <c r="BC109" s="10">
        <f t="shared" si="100"/>
        <v>0</v>
      </c>
      <c r="BD109" s="10"/>
      <c r="BE109" s="26">
        <f t="shared" si="113"/>
        <v>0</v>
      </c>
      <c r="BF109" s="122">
        <f t="shared" si="113"/>
        <v>0</v>
      </c>
      <c r="BG109" s="122"/>
      <c r="BH109" s="122">
        <f t="shared" si="114"/>
        <v>0</v>
      </c>
      <c r="BI109" s="122"/>
      <c r="BJ109" s="122">
        <f t="shared" si="115"/>
        <v>0</v>
      </c>
      <c r="BK109" s="122"/>
      <c r="BL109" s="122"/>
      <c r="BM109" s="122"/>
      <c r="BN109" s="122" t="s">
        <v>902</v>
      </c>
      <c r="BO109" s="122" t="s">
        <v>1580</v>
      </c>
      <c r="BP109" s="122" t="s">
        <v>967</v>
      </c>
      <c r="BQ109" s="122" t="s">
        <v>1099</v>
      </c>
      <c r="BR109" s="122" t="s">
        <v>966</v>
      </c>
      <c r="BS109" s="122" t="s">
        <v>11</v>
      </c>
      <c r="BT109" s="55" t="s">
        <v>968</v>
      </c>
    </row>
    <row r="110" spans="1:77" ht="47.25" hidden="1" customHeight="1" outlineLevel="1" x14ac:dyDescent="0.25">
      <c r="A110" s="124"/>
      <c r="B110" s="59">
        <v>10</v>
      </c>
      <c r="C110" s="67" t="s">
        <v>1270</v>
      </c>
      <c r="D110" s="122" t="s">
        <v>1105</v>
      </c>
      <c r="E110" s="41" t="s">
        <v>10</v>
      </c>
      <c r="F110" s="41">
        <v>417010</v>
      </c>
      <c r="G110" s="122">
        <v>414210</v>
      </c>
      <c r="H110" s="122"/>
      <c r="I110" s="122"/>
      <c r="J110" s="122"/>
      <c r="K110" s="122"/>
      <c r="L110" s="122"/>
      <c r="M110" s="122">
        <v>0</v>
      </c>
      <c r="N110" s="122">
        <f t="shared" si="116"/>
        <v>0</v>
      </c>
      <c r="O110" s="122">
        <v>289947</v>
      </c>
      <c r="P110" s="122">
        <v>1</v>
      </c>
      <c r="Q110" s="26">
        <v>100000</v>
      </c>
      <c r="R110" s="122">
        <v>1</v>
      </c>
      <c r="S110" s="122">
        <f t="shared" si="103"/>
        <v>100000</v>
      </c>
      <c r="T110" s="122"/>
      <c r="U110" s="26">
        <f t="shared" si="120"/>
        <v>100000</v>
      </c>
      <c r="V110" s="122">
        <f t="shared" si="120"/>
        <v>1</v>
      </c>
      <c r="W110" s="122"/>
      <c r="X110" s="122">
        <f t="shared" si="121"/>
        <v>0</v>
      </c>
      <c r="Y110" s="122">
        <v>100000</v>
      </c>
      <c r="Z110" s="122">
        <f t="shared" si="122"/>
        <v>1</v>
      </c>
      <c r="AA110" s="122">
        <v>-100000</v>
      </c>
      <c r="AB110" s="122"/>
      <c r="AC110" s="26">
        <f t="shared" si="107"/>
        <v>0</v>
      </c>
      <c r="AD110" s="122">
        <f t="shared" si="107"/>
        <v>0</v>
      </c>
      <c r="AE110" s="122"/>
      <c r="AF110" s="122">
        <f t="shared" si="108"/>
        <v>0</v>
      </c>
      <c r="AG110" s="122"/>
      <c r="AH110" s="122">
        <f t="shared" si="109"/>
        <v>0</v>
      </c>
      <c r="AI110" s="122">
        <f t="shared" si="117"/>
        <v>0</v>
      </c>
      <c r="AJ110" s="122"/>
      <c r="AK110" s="122">
        <v>1</v>
      </c>
      <c r="AL110" s="122">
        <v>189947</v>
      </c>
      <c r="AM110" s="122">
        <v>1</v>
      </c>
      <c r="AN110" s="122">
        <f t="shared" si="110"/>
        <v>-100000</v>
      </c>
      <c r="AO110" s="122"/>
      <c r="AP110" s="122">
        <f t="shared" si="118"/>
        <v>100000</v>
      </c>
      <c r="AQ110" s="122"/>
      <c r="AR110" s="34">
        <f t="shared" si="111"/>
        <v>289947</v>
      </c>
      <c r="AS110" s="10">
        <f t="shared" si="111"/>
        <v>1</v>
      </c>
      <c r="AT110" s="10"/>
      <c r="AU110" s="10">
        <f t="shared" si="112"/>
        <v>0</v>
      </c>
      <c r="AV110" s="10">
        <f>289947</f>
        <v>289947</v>
      </c>
      <c r="AW110" s="10">
        <f t="shared" si="119"/>
        <v>1</v>
      </c>
      <c r="AX110" s="10">
        <f t="shared" si="123"/>
        <v>124263</v>
      </c>
      <c r="AY110" s="10">
        <v>1</v>
      </c>
      <c r="AZ110" s="10"/>
      <c r="BA110" s="10">
        <v>0</v>
      </c>
      <c r="BB110" s="10">
        <v>0</v>
      </c>
      <c r="BC110" s="10">
        <f t="shared" si="100"/>
        <v>0</v>
      </c>
      <c r="BD110" s="10"/>
      <c r="BE110" s="26">
        <f t="shared" si="113"/>
        <v>0</v>
      </c>
      <c r="BF110" s="122">
        <f t="shared" si="113"/>
        <v>0</v>
      </c>
      <c r="BG110" s="122"/>
      <c r="BH110" s="122">
        <f t="shared" si="114"/>
        <v>0</v>
      </c>
      <c r="BI110" s="122"/>
      <c r="BJ110" s="122">
        <f t="shared" si="115"/>
        <v>0</v>
      </c>
      <c r="BK110" s="122"/>
      <c r="BL110" s="122"/>
      <c r="BM110" s="122"/>
      <c r="BN110" s="122" t="s">
        <v>903</v>
      </c>
      <c r="BO110" s="122" t="s">
        <v>403</v>
      </c>
      <c r="BP110" s="122" t="s">
        <v>946</v>
      </c>
      <c r="BQ110" s="122" t="s">
        <v>945</v>
      </c>
      <c r="BR110" s="122" t="s">
        <v>944</v>
      </c>
      <c r="BS110" s="122" t="s">
        <v>1582</v>
      </c>
      <c r="BT110" s="55" t="s">
        <v>947</v>
      </c>
    </row>
    <row r="111" spans="1:77" s="35" customFormat="1" ht="22.5" collapsed="1" x14ac:dyDescent="0.25">
      <c r="A111" s="48"/>
      <c r="B111" s="60">
        <v>17</v>
      </c>
      <c r="C111" s="26" t="s">
        <v>535</v>
      </c>
      <c r="D111" s="26"/>
      <c r="E111" s="26"/>
      <c r="F111" s="26">
        <f>F112+F132</f>
        <v>11215259.649</v>
      </c>
      <c r="G111" s="26">
        <f>G112+G132</f>
        <v>10937959</v>
      </c>
      <c r="H111" s="122">
        <f>H112</f>
        <v>2921801.0949999997</v>
      </c>
      <c r="I111" s="122">
        <f>I112</f>
        <v>440262.90500000009</v>
      </c>
      <c r="J111" s="122"/>
      <c r="K111" s="122"/>
      <c r="L111" s="122"/>
      <c r="M111" s="26">
        <f>M112+M132</f>
        <v>1770351</v>
      </c>
      <c r="N111" s="26">
        <f>N112+N132</f>
        <v>1897950.0000000002</v>
      </c>
      <c r="O111" s="26">
        <v>6625509</v>
      </c>
      <c r="P111" s="26">
        <v>17</v>
      </c>
      <c r="Q111" s="26">
        <v>3572360</v>
      </c>
      <c r="R111" s="26">
        <v>12</v>
      </c>
      <c r="S111" s="26">
        <f t="shared" ref="S111:AP111" si="124">S112+S132</f>
        <v>1977395</v>
      </c>
      <c r="T111" s="26">
        <f t="shared" si="124"/>
        <v>0</v>
      </c>
      <c r="U111" s="26">
        <f t="shared" si="124"/>
        <v>3450991</v>
      </c>
      <c r="V111" s="26">
        <f t="shared" si="124"/>
        <v>13</v>
      </c>
      <c r="W111" s="26">
        <f t="shared" si="124"/>
        <v>1593594</v>
      </c>
      <c r="X111" s="26">
        <f t="shared" si="124"/>
        <v>4</v>
      </c>
      <c r="Y111" s="26">
        <f t="shared" si="124"/>
        <v>1857397</v>
      </c>
      <c r="Z111" s="26">
        <f t="shared" si="124"/>
        <v>9</v>
      </c>
      <c r="AA111" s="26">
        <f t="shared" si="124"/>
        <v>-1857397</v>
      </c>
      <c r="AB111" s="26">
        <f t="shared" si="124"/>
        <v>114561</v>
      </c>
      <c r="AC111" s="26">
        <f t="shared" si="124"/>
        <v>1708155</v>
      </c>
      <c r="AD111" s="26">
        <f t="shared" si="124"/>
        <v>7</v>
      </c>
      <c r="AE111" s="26">
        <f t="shared" si="124"/>
        <v>1708155</v>
      </c>
      <c r="AF111" s="26">
        <f t="shared" si="124"/>
        <v>7</v>
      </c>
      <c r="AG111" s="26">
        <f t="shared" si="124"/>
        <v>0</v>
      </c>
      <c r="AH111" s="26">
        <f t="shared" si="124"/>
        <v>0</v>
      </c>
      <c r="AI111" s="26">
        <f t="shared" si="124"/>
        <v>189794.99999999997</v>
      </c>
      <c r="AJ111" s="67">
        <f t="shared" si="124"/>
        <v>7</v>
      </c>
      <c r="AK111" s="67">
        <f t="shared" si="124"/>
        <v>6</v>
      </c>
      <c r="AL111" s="67">
        <f t="shared" si="124"/>
        <v>3889216</v>
      </c>
      <c r="AM111" s="67">
        <f t="shared" si="124"/>
        <v>5</v>
      </c>
      <c r="AN111" s="67">
        <f t="shared" si="124"/>
        <v>-3194621</v>
      </c>
      <c r="AO111" s="67">
        <f t="shared" si="124"/>
        <v>0</v>
      </c>
      <c r="AP111" s="67">
        <f t="shared" si="124"/>
        <v>1742836</v>
      </c>
      <c r="AQ111" s="26"/>
      <c r="AR111" s="26">
        <f t="shared" ref="AR111:AZ111" si="125">AR112+AR132</f>
        <v>7083837</v>
      </c>
      <c r="AS111" s="67">
        <f t="shared" si="125"/>
        <v>16</v>
      </c>
      <c r="AT111" s="26">
        <f t="shared" si="125"/>
        <v>1421506</v>
      </c>
      <c r="AU111" s="26">
        <f t="shared" si="125"/>
        <v>4</v>
      </c>
      <c r="AV111" s="26">
        <f t="shared" si="125"/>
        <v>5662331</v>
      </c>
      <c r="AW111" s="26">
        <f t="shared" si="125"/>
        <v>12</v>
      </c>
      <c r="AX111" s="26">
        <f t="shared" si="125"/>
        <v>755380.22222222225</v>
      </c>
      <c r="AY111" s="26">
        <f t="shared" si="125"/>
        <v>9</v>
      </c>
      <c r="AZ111" s="26">
        <f t="shared" si="125"/>
        <v>1</v>
      </c>
      <c r="BA111" s="26">
        <v>1212210</v>
      </c>
      <c r="BB111" s="26">
        <v>4</v>
      </c>
      <c r="BC111" s="10">
        <f t="shared" si="100"/>
        <v>1212210</v>
      </c>
      <c r="BD111" s="26"/>
      <c r="BE111" s="26">
        <f t="shared" ref="BE111:BT111" si="126">BE112+BE132</f>
        <v>0</v>
      </c>
      <c r="BF111" s="67">
        <f t="shared" si="126"/>
        <v>0</v>
      </c>
      <c r="BG111" s="26">
        <f t="shared" si="126"/>
        <v>0</v>
      </c>
      <c r="BH111" s="26">
        <f t="shared" si="126"/>
        <v>0</v>
      </c>
      <c r="BI111" s="26">
        <f t="shared" si="126"/>
        <v>0</v>
      </c>
      <c r="BJ111" s="26">
        <f t="shared" si="126"/>
        <v>0</v>
      </c>
      <c r="BK111" s="26">
        <f t="shared" si="126"/>
        <v>0</v>
      </c>
      <c r="BL111" s="26">
        <f t="shared" si="126"/>
        <v>0</v>
      </c>
      <c r="BM111" s="26">
        <f t="shared" si="126"/>
        <v>0</v>
      </c>
      <c r="BN111" s="26">
        <f t="shared" si="126"/>
        <v>0</v>
      </c>
      <c r="BO111" s="26">
        <f t="shared" si="126"/>
        <v>0</v>
      </c>
      <c r="BP111" s="26">
        <f t="shared" si="126"/>
        <v>0</v>
      </c>
      <c r="BQ111" s="26">
        <f t="shared" si="126"/>
        <v>0</v>
      </c>
      <c r="BR111" s="26">
        <f t="shared" si="126"/>
        <v>0</v>
      </c>
      <c r="BS111" s="26">
        <f t="shared" si="126"/>
        <v>0</v>
      </c>
      <c r="BT111" s="58">
        <f t="shared" si="126"/>
        <v>0</v>
      </c>
      <c r="BU111" s="25"/>
      <c r="BV111" s="25"/>
      <c r="BW111" s="25"/>
      <c r="BX111" s="25"/>
      <c r="BY111" s="25"/>
    </row>
    <row r="112" spans="1:77" ht="11.25" hidden="1" outlineLevel="1" x14ac:dyDescent="0.25">
      <c r="A112" s="124"/>
      <c r="B112" s="125">
        <v>16</v>
      </c>
      <c r="C112" s="122" t="s">
        <v>7</v>
      </c>
      <c r="D112" s="122"/>
      <c r="E112" s="122"/>
      <c r="F112" s="122">
        <f>SUM(F113:F131)</f>
        <v>10426440.149</v>
      </c>
      <c r="G112" s="122">
        <f>SUM(G113:G131)</f>
        <v>10163607</v>
      </c>
      <c r="H112" s="122">
        <f>H113+H114+H115+H116</f>
        <v>2921801.0949999997</v>
      </c>
      <c r="I112" s="122">
        <f>I113+I114+I115+I116</f>
        <v>440262.90500000009</v>
      </c>
      <c r="J112" s="122"/>
      <c r="K112" s="122"/>
      <c r="L112" s="122"/>
      <c r="M112" s="122">
        <f>SUM(M113:M131)</f>
        <v>1770351</v>
      </c>
      <c r="N112" s="122">
        <f>SUM(N113:N131)</f>
        <v>1897950.0000000002</v>
      </c>
      <c r="O112" s="122">
        <v>6277051</v>
      </c>
      <c r="P112" s="122">
        <v>16</v>
      </c>
      <c r="Q112" s="26">
        <v>3422360</v>
      </c>
      <c r="R112" s="122">
        <v>11</v>
      </c>
      <c r="S112" s="26">
        <f t="shared" ref="S112:AP112" si="127">SUM(S113:S131)</f>
        <v>1827395</v>
      </c>
      <c r="T112" s="26">
        <f t="shared" si="127"/>
        <v>0</v>
      </c>
      <c r="U112" s="26">
        <f t="shared" si="127"/>
        <v>3300991</v>
      </c>
      <c r="V112" s="67">
        <f t="shared" si="127"/>
        <v>12</v>
      </c>
      <c r="W112" s="67">
        <f t="shared" si="127"/>
        <v>1593594</v>
      </c>
      <c r="X112" s="67">
        <f t="shared" si="127"/>
        <v>4</v>
      </c>
      <c r="Y112" s="67">
        <f t="shared" si="127"/>
        <v>1707397</v>
      </c>
      <c r="Z112" s="67">
        <f t="shared" si="127"/>
        <v>8</v>
      </c>
      <c r="AA112" s="67">
        <f t="shared" si="127"/>
        <v>-1707397</v>
      </c>
      <c r="AB112" s="67">
        <f t="shared" si="127"/>
        <v>114561</v>
      </c>
      <c r="AC112" s="26">
        <f t="shared" si="127"/>
        <v>1708155</v>
      </c>
      <c r="AD112" s="122">
        <f t="shared" si="127"/>
        <v>7</v>
      </c>
      <c r="AE112" s="122">
        <f t="shared" si="127"/>
        <v>1708155</v>
      </c>
      <c r="AF112" s="122">
        <f t="shared" si="127"/>
        <v>7</v>
      </c>
      <c r="AG112" s="122">
        <f t="shared" si="127"/>
        <v>0</v>
      </c>
      <c r="AH112" s="122">
        <f t="shared" si="127"/>
        <v>0</v>
      </c>
      <c r="AI112" s="122">
        <f t="shared" si="127"/>
        <v>189794.99999999997</v>
      </c>
      <c r="AJ112" s="122">
        <f t="shared" si="127"/>
        <v>7</v>
      </c>
      <c r="AK112" s="122">
        <f t="shared" si="127"/>
        <v>5</v>
      </c>
      <c r="AL112" s="122">
        <f t="shared" si="127"/>
        <v>3342299</v>
      </c>
      <c r="AM112" s="122">
        <f t="shared" si="127"/>
        <v>5</v>
      </c>
      <c r="AN112" s="122">
        <f t="shared" si="127"/>
        <v>-3044621</v>
      </c>
      <c r="AO112" s="122">
        <f t="shared" si="127"/>
        <v>0</v>
      </c>
      <c r="AP112" s="122">
        <f t="shared" si="127"/>
        <v>1592836</v>
      </c>
      <c r="AQ112" s="122"/>
      <c r="AR112" s="26">
        <f t="shared" ref="AR112:AZ112" si="128">SUM(AR113:AR131)</f>
        <v>6386920</v>
      </c>
      <c r="AS112" s="122">
        <f t="shared" si="128"/>
        <v>15</v>
      </c>
      <c r="AT112" s="122">
        <f t="shared" si="128"/>
        <v>1421506</v>
      </c>
      <c r="AU112" s="122">
        <f t="shared" si="128"/>
        <v>3</v>
      </c>
      <c r="AV112" s="122">
        <f t="shared" si="128"/>
        <v>4965414</v>
      </c>
      <c r="AW112" s="122">
        <f t="shared" si="128"/>
        <v>12</v>
      </c>
      <c r="AX112" s="122">
        <f t="shared" si="128"/>
        <v>677945</v>
      </c>
      <c r="AY112" s="122">
        <f t="shared" si="128"/>
        <v>8</v>
      </c>
      <c r="AZ112" s="122">
        <f t="shared" si="128"/>
        <v>1</v>
      </c>
      <c r="BA112" s="122">
        <v>1212210</v>
      </c>
      <c r="BB112" s="122">
        <v>4</v>
      </c>
      <c r="BC112" s="10">
        <f t="shared" si="100"/>
        <v>1212210</v>
      </c>
      <c r="BD112" s="122"/>
      <c r="BE112" s="26">
        <f t="shared" ref="BE112:BT112" si="129">SUM(BE113:BE131)</f>
        <v>0</v>
      </c>
      <c r="BF112" s="122">
        <f t="shared" si="129"/>
        <v>0</v>
      </c>
      <c r="BG112" s="122">
        <f t="shared" si="129"/>
        <v>0</v>
      </c>
      <c r="BH112" s="122">
        <f t="shared" si="129"/>
        <v>0</v>
      </c>
      <c r="BI112" s="122">
        <f t="shared" si="129"/>
        <v>0</v>
      </c>
      <c r="BJ112" s="122">
        <f t="shared" si="129"/>
        <v>0</v>
      </c>
      <c r="BK112" s="122">
        <f t="shared" si="129"/>
        <v>0</v>
      </c>
      <c r="BL112" s="122">
        <f t="shared" si="129"/>
        <v>0</v>
      </c>
      <c r="BM112" s="122">
        <f t="shared" si="129"/>
        <v>0</v>
      </c>
      <c r="BN112" s="122">
        <f t="shared" si="129"/>
        <v>0</v>
      </c>
      <c r="BO112" s="122">
        <f t="shared" si="129"/>
        <v>0</v>
      </c>
      <c r="BP112" s="122">
        <f t="shared" si="129"/>
        <v>0</v>
      </c>
      <c r="BQ112" s="122">
        <f t="shared" si="129"/>
        <v>0</v>
      </c>
      <c r="BR112" s="122">
        <f t="shared" si="129"/>
        <v>0</v>
      </c>
      <c r="BS112" s="122">
        <f t="shared" si="129"/>
        <v>0</v>
      </c>
      <c r="BT112" s="55">
        <f t="shared" si="129"/>
        <v>0</v>
      </c>
    </row>
    <row r="113" spans="1:72" ht="45" hidden="1" customHeight="1" outlineLevel="1" x14ac:dyDescent="0.25">
      <c r="A113" s="124"/>
      <c r="B113" s="59">
        <v>1</v>
      </c>
      <c r="C113" s="122" t="s">
        <v>282</v>
      </c>
      <c r="D113" s="122" t="s">
        <v>769</v>
      </c>
      <c r="E113" s="122" t="s">
        <v>9</v>
      </c>
      <c r="F113" s="122">
        <v>438594</v>
      </c>
      <c r="G113" s="122">
        <v>429200</v>
      </c>
      <c r="H113" s="122"/>
      <c r="I113" s="122">
        <f t="shared" ref="I113:I116" si="130">G113-H113</f>
        <v>429200</v>
      </c>
      <c r="J113" s="122">
        <v>1</v>
      </c>
      <c r="K113" s="122">
        <v>1</v>
      </c>
      <c r="L113" s="122"/>
      <c r="M113" s="122">
        <v>166667</v>
      </c>
      <c r="N113" s="122">
        <f>AC113+AI113</f>
        <v>262533.33333333331</v>
      </c>
      <c r="O113" s="122">
        <v>236280</v>
      </c>
      <c r="P113" s="122">
        <v>1</v>
      </c>
      <c r="Q113" s="26">
        <v>236280</v>
      </c>
      <c r="R113" s="122">
        <v>1</v>
      </c>
      <c r="S113" s="122">
        <f t="shared" si="103"/>
        <v>0</v>
      </c>
      <c r="T113" s="122"/>
      <c r="U113" s="26">
        <f t="shared" ref="U113:V116" si="131">W113+Y113</f>
        <v>236280</v>
      </c>
      <c r="V113" s="122">
        <f t="shared" si="131"/>
        <v>1</v>
      </c>
      <c r="W113" s="122">
        <v>236280</v>
      </c>
      <c r="X113" s="122">
        <f t="shared" ref="X113:X116" si="132">IF(W113,1,0)</f>
        <v>1</v>
      </c>
      <c r="Y113" s="122"/>
      <c r="Z113" s="122">
        <f t="shared" ref="Z113:Z116" si="133">IF(Y113,1,0)</f>
        <v>0</v>
      </c>
      <c r="AA113" s="122">
        <v>0</v>
      </c>
      <c r="AB113" s="122"/>
      <c r="AC113" s="26">
        <f t="shared" si="107"/>
        <v>236280</v>
      </c>
      <c r="AD113" s="122">
        <f t="shared" si="107"/>
        <v>1</v>
      </c>
      <c r="AE113" s="122">
        <v>236280</v>
      </c>
      <c r="AF113" s="122">
        <f t="shared" ref="AF113:AF131" si="134">IF(AE113,1,0)</f>
        <v>1</v>
      </c>
      <c r="AG113" s="122"/>
      <c r="AH113" s="122">
        <f t="shared" ref="AH113:AH131" si="135">IF(AG113,1,0)</f>
        <v>0</v>
      </c>
      <c r="AI113" s="122">
        <f>AC113/0.9*0.1</f>
        <v>26253.333333333332</v>
      </c>
      <c r="AJ113" s="122">
        <v>1</v>
      </c>
      <c r="AK113" s="122"/>
      <c r="AL113" s="122">
        <v>0</v>
      </c>
      <c r="AM113" s="122">
        <v>0</v>
      </c>
      <c r="AN113" s="122">
        <f t="shared" si="110"/>
        <v>0</v>
      </c>
      <c r="AO113" s="122"/>
      <c r="AP113" s="122">
        <f>U113-AC113</f>
        <v>0</v>
      </c>
      <c r="AQ113" s="122"/>
      <c r="AR113" s="34">
        <f>AT113+AV113</f>
        <v>0</v>
      </c>
      <c r="AS113" s="10">
        <v>0</v>
      </c>
      <c r="AT113" s="10">
        <v>0</v>
      </c>
      <c r="AU113" s="10">
        <v>0</v>
      </c>
      <c r="AV113" s="10">
        <v>0</v>
      </c>
      <c r="AW113" s="10">
        <v>0</v>
      </c>
      <c r="AX113" s="10">
        <v>0</v>
      </c>
      <c r="AY113" s="10"/>
      <c r="AZ113" s="10"/>
      <c r="BA113" s="10">
        <v>0</v>
      </c>
      <c r="BB113" s="10">
        <v>0</v>
      </c>
      <c r="BC113" s="10">
        <f t="shared" si="100"/>
        <v>0</v>
      </c>
      <c r="BD113" s="10"/>
      <c r="BE113" s="26">
        <f t="shared" si="113"/>
        <v>0</v>
      </c>
      <c r="BF113" s="122">
        <f t="shared" si="113"/>
        <v>0</v>
      </c>
      <c r="BG113" s="122"/>
      <c r="BH113" s="122">
        <f t="shared" si="114"/>
        <v>0</v>
      </c>
      <c r="BI113" s="122"/>
      <c r="BJ113" s="122">
        <f t="shared" si="115"/>
        <v>0</v>
      </c>
      <c r="BK113" s="122"/>
      <c r="BL113" s="122"/>
      <c r="BM113" s="122"/>
      <c r="BN113" s="122" t="s">
        <v>768</v>
      </c>
      <c r="BO113" s="122" t="s">
        <v>1583</v>
      </c>
      <c r="BP113" s="122" t="s">
        <v>770</v>
      </c>
      <c r="BQ113" s="122" t="s">
        <v>771</v>
      </c>
      <c r="BR113" s="122" t="s">
        <v>773</v>
      </c>
      <c r="BS113" s="122" t="s">
        <v>772</v>
      </c>
      <c r="BT113" s="55" t="s">
        <v>774</v>
      </c>
    </row>
    <row r="114" spans="1:72" ht="41.25" hidden="1" customHeight="1" outlineLevel="1" x14ac:dyDescent="0.25">
      <c r="A114" s="124"/>
      <c r="B114" s="59">
        <v>2</v>
      </c>
      <c r="C114" s="122" t="s">
        <v>1461</v>
      </c>
      <c r="D114" s="122" t="s">
        <v>283</v>
      </c>
      <c r="E114" s="122" t="s">
        <v>9</v>
      </c>
      <c r="F114" s="122">
        <v>1343109</v>
      </c>
      <c r="G114" s="122">
        <v>1326693</v>
      </c>
      <c r="H114" s="122">
        <v>1320049.3459999999</v>
      </c>
      <c r="I114" s="122">
        <f t="shared" si="130"/>
        <v>6643.6540000000969</v>
      </c>
      <c r="J114" s="122">
        <v>1</v>
      </c>
      <c r="K114" s="122">
        <v>1</v>
      </c>
      <c r="L114" s="122"/>
      <c r="M114" s="122">
        <v>333333</v>
      </c>
      <c r="N114" s="122">
        <f>AC114+AI114</f>
        <v>986715.5555555555</v>
      </c>
      <c r="O114" s="122">
        <v>894024</v>
      </c>
      <c r="P114" s="122">
        <v>1</v>
      </c>
      <c r="Q114" s="26">
        <v>894024</v>
      </c>
      <c r="R114" s="122">
        <v>1</v>
      </c>
      <c r="S114" s="122">
        <f t="shared" si="103"/>
        <v>5980</v>
      </c>
      <c r="T114" s="122"/>
      <c r="U114" s="26">
        <f t="shared" si="131"/>
        <v>888044</v>
      </c>
      <c r="V114" s="122">
        <f t="shared" si="131"/>
        <v>1</v>
      </c>
      <c r="W114" s="122">
        <v>888044</v>
      </c>
      <c r="X114" s="122">
        <f t="shared" si="132"/>
        <v>1</v>
      </c>
      <c r="Y114" s="122"/>
      <c r="Z114" s="122">
        <f t="shared" si="133"/>
        <v>0</v>
      </c>
      <c r="AA114" s="122">
        <v>0</v>
      </c>
      <c r="AB114" s="122"/>
      <c r="AC114" s="26">
        <f t="shared" si="107"/>
        <v>888044</v>
      </c>
      <c r="AD114" s="122">
        <f t="shared" si="107"/>
        <v>1</v>
      </c>
      <c r="AE114" s="122">
        <f>888044</f>
        <v>888044</v>
      </c>
      <c r="AF114" s="122">
        <f t="shared" si="134"/>
        <v>1</v>
      </c>
      <c r="AG114" s="122"/>
      <c r="AH114" s="122">
        <f t="shared" si="135"/>
        <v>0</v>
      </c>
      <c r="AI114" s="122">
        <f t="shared" ref="AI114:AI131" si="136">AC114/0.9*0.1</f>
        <v>98671.555555555562</v>
      </c>
      <c r="AJ114" s="122">
        <v>1</v>
      </c>
      <c r="AK114" s="122"/>
      <c r="AL114" s="122">
        <v>0</v>
      </c>
      <c r="AM114" s="122">
        <v>0</v>
      </c>
      <c r="AN114" s="122">
        <f t="shared" si="110"/>
        <v>-214561</v>
      </c>
      <c r="AO114" s="122"/>
      <c r="AP114" s="122">
        <f t="shared" ref="AP114:AP133" si="137">U114-AC114</f>
        <v>0</v>
      </c>
      <c r="AQ114" s="122"/>
      <c r="AR114" s="34">
        <f t="shared" ref="AR114:AR131" si="138">AT114+AV114</f>
        <v>214561</v>
      </c>
      <c r="AS114" s="10">
        <f t="shared" si="111"/>
        <v>1</v>
      </c>
      <c r="AT114" s="10">
        <f>180000+34561</f>
        <v>214561</v>
      </c>
      <c r="AU114" s="10">
        <f t="shared" si="112"/>
        <v>1</v>
      </c>
      <c r="AV114" s="10"/>
      <c r="AW114" s="10">
        <f t="shared" si="119"/>
        <v>0</v>
      </c>
      <c r="AX114" s="10"/>
      <c r="AY114" s="10"/>
      <c r="AZ114" s="10"/>
      <c r="BA114" s="10">
        <v>0</v>
      </c>
      <c r="BB114" s="10">
        <v>0</v>
      </c>
      <c r="BC114" s="10">
        <f t="shared" si="100"/>
        <v>0</v>
      </c>
      <c r="BD114" s="10"/>
      <c r="BE114" s="26">
        <f t="shared" si="113"/>
        <v>0</v>
      </c>
      <c r="BF114" s="122">
        <f t="shared" si="113"/>
        <v>0</v>
      </c>
      <c r="BG114" s="122"/>
      <c r="BH114" s="122">
        <f t="shared" si="114"/>
        <v>0</v>
      </c>
      <c r="BI114" s="122"/>
      <c r="BJ114" s="122">
        <f t="shared" si="115"/>
        <v>0</v>
      </c>
      <c r="BK114" s="122"/>
      <c r="BL114" s="122"/>
      <c r="BM114" s="122"/>
      <c r="BN114" s="122" t="s">
        <v>723</v>
      </c>
      <c r="BO114" s="122" t="s">
        <v>1584</v>
      </c>
      <c r="BP114" s="122" t="s">
        <v>726</v>
      </c>
      <c r="BQ114" s="122" t="s">
        <v>1273</v>
      </c>
      <c r="BR114" s="122" t="s">
        <v>724</v>
      </c>
      <c r="BS114" s="122" t="s">
        <v>727</v>
      </c>
      <c r="BT114" s="55" t="s">
        <v>725</v>
      </c>
    </row>
    <row r="115" spans="1:72" ht="45" hidden="1" customHeight="1" outlineLevel="1" x14ac:dyDescent="0.25">
      <c r="A115" s="124"/>
      <c r="B115" s="59">
        <v>3</v>
      </c>
      <c r="C115" s="122" t="s">
        <v>1462</v>
      </c>
      <c r="D115" s="122" t="s">
        <v>284</v>
      </c>
      <c r="E115" s="122" t="s">
        <v>9</v>
      </c>
      <c r="F115" s="122">
        <v>342517</v>
      </c>
      <c r="G115" s="122">
        <v>327247</v>
      </c>
      <c r="H115" s="122">
        <v>322827.74900000001</v>
      </c>
      <c r="I115" s="122">
        <f t="shared" si="130"/>
        <v>4419.2509999999893</v>
      </c>
      <c r="J115" s="122">
        <v>1</v>
      </c>
      <c r="K115" s="122">
        <v>1</v>
      </c>
      <c r="L115" s="122"/>
      <c r="M115" s="122">
        <v>163623</v>
      </c>
      <c r="N115" s="122">
        <f>AC115+AI115</f>
        <v>159204.44444444444</v>
      </c>
      <c r="O115" s="122">
        <v>147261</v>
      </c>
      <c r="P115" s="122">
        <v>1</v>
      </c>
      <c r="Q115" s="26">
        <v>147261</v>
      </c>
      <c r="R115" s="122">
        <v>1</v>
      </c>
      <c r="S115" s="122">
        <f t="shared" si="103"/>
        <v>3977</v>
      </c>
      <c r="T115" s="122"/>
      <c r="U115" s="26">
        <f t="shared" si="131"/>
        <v>143284</v>
      </c>
      <c r="V115" s="122">
        <f t="shared" si="131"/>
        <v>1</v>
      </c>
      <c r="W115" s="122">
        <v>143284</v>
      </c>
      <c r="X115" s="122">
        <f t="shared" si="132"/>
        <v>1</v>
      </c>
      <c r="Y115" s="122"/>
      <c r="Z115" s="122">
        <f t="shared" si="133"/>
        <v>0</v>
      </c>
      <c r="AA115" s="122">
        <v>0</v>
      </c>
      <c r="AB115" s="122"/>
      <c r="AC115" s="26">
        <f t="shared" si="107"/>
        <v>143284</v>
      </c>
      <c r="AD115" s="122">
        <f t="shared" si="107"/>
        <v>1</v>
      </c>
      <c r="AE115" s="122">
        <v>143284</v>
      </c>
      <c r="AF115" s="122">
        <f t="shared" si="134"/>
        <v>1</v>
      </c>
      <c r="AG115" s="122"/>
      <c r="AH115" s="122">
        <f t="shared" si="135"/>
        <v>0</v>
      </c>
      <c r="AI115" s="122">
        <f t="shared" si="136"/>
        <v>15920.444444444445</v>
      </c>
      <c r="AJ115" s="122">
        <v>1</v>
      </c>
      <c r="AK115" s="122"/>
      <c r="AL115" s="122">
        <v>0</v>
      </c>
      <c r="AM115" s="122">
        <v>0</v>
      </c>
      <c r="AN115" s="122">
        <f t="shared" si="110"/>
        <v>0</v>
      </c>
      <c r="AO115" s="122"/>
      <c r="AP115" s="122">
        <f t="shared" si="137"/>
        <v>0</v>
      </c>
      <c r="AQ115" s="122"/>
      <c r="AR115" s="34">
        <f t="shared" si="138"/>
        <v>0</v>
      </c>
      <c r="AS115" s="10">
        <f t="shared" si="111"/>
        <v>0</v>
      </c>
      <c r="AT115" s="10"/>
      <c r="AU115" s="10">
        <f t="shared" si="112"/>
        <v>0</v>
      </c>
      <c r="AV115" s="10"/>
      <c r="AW115" s="10">
        <f t="shared" si="119"/>
        <v>0</v>
      </c>
      <c r="AX115" s="10"/>
      <c r="AY115" s="10"/>
      <c r="AZ115" s="10"/>
      <c r="BA115" s="10">
        <v>0</v>
      </c>
      <c r="BB115" s="10">
        <v>0</v>
      </c>
      <c r="BC115" s="10">
        <f t="shared" si="100"/>
        <v>0</v>
      </c>
      <c r="BD115" s="10"/>
      <c r="BE115" s="26">
        <f t="shared" si="113"/>
        <v>0</v>
      </c>
      <c r="BF115" s="122">
        <f t="shared" si="113"/>
        <v>0</v>
      </c>
      <c r="BG115" s="122"/>
      <c r="BH115" s="122">
        <f t="shared" si="114"/>
        <v>0</v>
      </c>
      <c r="BI115" s="122"/>
      <c r="BJ115" s="122">
        <f t="shared" si="115"/>
        <v>0</v>
      </c>
      <c r="BK115" s="122"/>
      <c r="BL115" s="122"/>
      <c r="BM115" s="122"/>
      <c r="BN115" s="122" t="s">
        <v>747</v>
      </c>
      <c r="BO115" s="122" t="s">
        <v>1585</v>
      </c>
      <c r="BP115" s="122" t="s">
        <v>748</v>
      </c>
      <c r="BQ115" s="122" t="s">
        <v>749</v>
      </c>
      <c r="BR115" s="122" t="s">
        <v>750</v>
      </c>
      <c r="BS115" s="122" t="s">
        <v>751</v>
      </c>
      <c r="BT115" s="55" t="s">
        <v>752</v>
      </c>
    </row>
    <row r="116" spans="1:72" ht="40.5" hidden="1" customHeight="1" outlineLevel="1" x14ac:dyDescent="0.25">
      <c r="A116" s="124"/>
      <c r="B116" s="59">
        <v>4</v>
      </c>
      <c r="C116" s="122" t="s">
        <v>1272</v>
      </c>
      <c r="D116" s="122" t="s">
        <v>794</v>
      </c>
      <c r="E116" s="122" t="s">
        <v>168</v>
      </c>
      <c r="F116" s="122">
        <v>1310534.8770000001</v>
      </c>
      <c r="G116" s="122">
        <v>1278924</v>
      </c>
      <c r="H116" s="122">
        <v>1278924</v>
      </c>
      <c r="I116" s="122">
        <f t="shared" si="130"/>
        <v>0</v>
      </c>
      <c r="J116" s="122">
        <v>1</v>
      </c>
      <c r="K116" s="122"/>
      <c r="L116" s="122"/>
      <c r="M116" s="122">
        <v>115208</v>
      </c>
      <c r="N116" s="122">
        <f>AC116+AI116</f>
        <v>363730</v>
      </c>
      <c r="O116" s="122">
        <v>1047345</v>
      </c>
      <c r="P116" s="122">
        <v>1</v>
      </c>
      <c r="Q116" s="26">
        <v>325986</v>
      </c>
      <c r="R116" s="122">
        <v>1</v>
      </c>
      <c r="S116" s="122">
        <f t="shared" si="103"/>
        <v>-1371</v>
      </c>
      <c r="T116" s="122"/>
      <c r="U116" s="26">
        <f>W116+Y116</f>
        <v>325986</v>
      </c>
      <c r="V116" s="122">
        <f t="shared" si="131"/>
        <v>1</v>
      </c>
      <c r="W116" s="122">
        <v>325986</v>
      </c>
      <c r="X116" s="122">
        <f t="shared" si="132"/>
        <v>1</v>
      </c>
      <c r="Y116" s="122"/>
      <c r="Z116" s="122">
        <f t="shared" si="133"/>
        <v>0</v>
      </c>
      <c r="AA116" s="122"/>
      <c r="AB116" s="122">
        <v>1371</v>
      </c>
      <c r="AC116" s="26">
        <f>AE116+AG116</f>
        <v>327357</v>
      </c>
      <c r="AD116" s="122">
        <f t="shared" si="107"/>
        <v>1</v>
      </c>
      <c r="AE116" s="122">
        <f>325986+1371</f>
        <v>327357</v>
      </c>
      <c r="AF116" s="122">
        <f t="shared" si="134"/>
        <v>1</v>
      </c>
      <c r="AG116" s="122"/>
      <c r="AH116" s="122">
        <f t="shared" si="135"/>
        <v>0</v>
      </c>
      <c r="AI116" s="122">
        <f t="shared" si="136"/>
        <v>36373</v>
      </c>
      <c r="AJ116" s="122"/>
      <c r="AK116" s="122">
        <v>1</v>
      </c>
      <c r="AL116" s="122">
        <v>721358</v>
      </c>
      <c r="AM116" s="122">
        <v>1</v>
      </c>
      <c r="AN116" s="122">
        <f t="shared" si="110"/>
        <v>0</v>
      </c>
      <c r="AO116" s="122"/>
      <c r="AP116" s="122">
        <f t="shared" si="137"/>
        <v>-1371</v>
      </c>
      <c r="AQ116" s="122"/>
      <c r="AR116" s="34">
        <f t="shared" si="138"/>
        <v>721358</v>
      </c>
      <c r="AS116" s="10">
        <f t="shared" si="111"/>
        <v>1</v>
      </c>
      <c r="AT116" s="10">
        <f>821358-100000</f>
        <v>721358</v>
      </c>
      <c r="AU116" s="10">
        <f t="shared" si="112"/>
        <v>1</v>
      </c>
      <c r="AV116" s="10"/>
      <c r="AW116" s="10">
        <f t="shared" si="119"/>
        <v>0</v>
      </c>
      <c r="AX116" s="10">
        <f>AT116/0.9*0.1</f>
        <v>80150.888888888891</v>
      </c>
      <c r="AY116" s="10">
        <v>1</v>
      </c>
      <c r="AZ116" s="10"/>
      <c r="BA116" s="10">
        <v>0</v>
      </c>
      <c r="BB116" s="10">
        <v>0</v>
      </c>
      <c r="BC116" s="10">
        <f t="shared" si="100"/>
        <v>0</v>
      </c>
      <c r="BD116" s="10"/>
      <c r="BE116" s="26">
        <f t="shared" si="113"/>
        <v>0</v>
      </c>
      <c r="BF116" s="122">
        <f t="shared" si="113"/>
        <v>0</v>
      </c>
      <c r="BG116" s="122"/>
      <c r="BH116" s="122">
        <f t="shared" si="114"/>
        <v>0</v>
      </c>
      <c r="BI116" s="122"/>
      <c r="BJ116" s="122">
        <f t="shared" si="115"/>
        <v>0</v>
      </c>
      <c r="BK116" s="122"/>
      <c r="BL116" s="122"/>
      <c r="BM116" s="122"/>
      <c r="BN116" s="122" t="s">
        <v>795</v>
      </c>
      <c r="BO116" s="122" t="s">
        <v>1586</v>
      </c>
      <c r="BP116" s="122" t="s">
        <v>796</v>
      </c>
      <c r="BQ116" s="122" t="s">
        <v>797</v>
      </c>
      <c r="BR116" s="122" t="s">
        <v>798</v>
      </c>
      <c r="BS116" s="122" t="s">
        <v>799</v>
      </c>
      <c r="BT116" s="55" t="s">
        <v>800</v>
      </c>
    </row>
    <row r="117" spans="1:72" ht="40.5" hidden="1" customHeight="1" outlineLevel="1" x14ac:dyDescent="0.25">
      <c r="A117" s="124"/>
      <c r="B117" s="59"/>
      <c r="C117" s="112" t="s">
        <v>1964</v>
      </c>
      <c r="D117" s="122" t="s">
        <v>2068</v>
      </c>
      <c r="E117" s="122" t="s">
        <v>196</v>
      </c>
      <c r="F117" s="122">
        <v>683510</v>
      </c>
      <c r="G117" s="122">
        <v>661300</v>
      </c>
      <c r="H117" s="122"/>
      <c r="I117" s="122"/>
      <c r="J117" s="122"/>
      <c r="K117" s="122"/>
      <c r="L117" s="122"/>
      <c r="M117" s="122">
        <v>627900</v>
      </c>
      <c r="N117" s="122">
        <f>AC117+AI117</f>
        <v>12058.888888888889</v>
      </c>
      <c r="O117" s="122"/>
      <c r="P117" s="122"/>
      <c r="Q117" s="26"/>
      <c r="R117" s="122"/>
      <c r="S117" s="122"/>
      <c r="T117" s="122"/>
      <c r="U117" s="26"/>
      <c r="V117" s="122"/>
      <c r="W117" s="122"/>
      <c r="X117" s="122"/>
      <c r="Y117" s="122"/>
      <c r="Z117" s="122"/>
      <c r="AA117" s="122"/>
      <c r="AB117" s="122">
        <v>10853</v>
      </c>
      <c r="AC117" s="26">
        <f t="shared" ref="AC117:AC119" si="139">AE117+AG117</f>
        <v>10853</v>
      </c>
      <c r="AD117" s="122">
        <f t="shared" si="107"/>
        <v>1</v>
      </c>
      <c r="AE117" s="122">
        <v>10853</v>
      </c>
      <c r="AF117" s="122">
        <f t="shared" si="134"/>
        <v>1</v>
      </c>
      <c r="AG117" s="122"/>
      <c r="AH117" s="122"/>
      <c r="AI117" s="122">
        <f t="shared" si="136"/>
        <v>1205.8888888888889</v>
      </c>
      <c r="AJ117" s="122"/>
      <c r="AK117" s="122"/>
      <c r="AL117" s="122"/>
      <c r="AM117" s="122"/>
      <c r="AN117" s="122"/>
      <c r="AO117" s="122"/>
      <c r="AP117" s="122">
        <f t="shared" si="137"/>
        <v>-10853</v>
      </c>
      <c r="AQ117" s="122"/>
      <c r="AR117" s="34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26"/>
      <c r="BF117" s="122"/>
      <c r="BG117" s="122"/>
      <c r="BH117" s="122"/>
      <c r="BI117" s="122"/>
      <c r="BJ117" s="122"/>
      <c r="BK117" s="122"/>
      <c r="BL117" s="122"/>
      <c r="BM117" s="122"/>
      <c r="BN117" s="122" t="s">
        <v>1965</v>
      </c>
      <c r="BO117" s="122" t="s">
        <v>1966</v>
      </c>
      <c r="BP117" s="122" t="s">
        <v>1967</v>
      </c>
      <c r="BQ117" s="122" t="s">
        <v>1968</v>
      </c>
      <c r="BR117" s="122" t="s">
        <v>1969</v>
      </c>
      <c r="BS117" s="122" t="s">
        <v>1970</v>
      </c>
      <c r="BT117" s="55"/>
    </row>
    <row r="118" spans="1:72" ht="40.5" hidden="1" customHeight="1" outlineLevel="1" x14ac:dyDescent="0.25">
      <c r="A118" s="124"/>
      <c r="B118" s="59"/>
      <c r="C118" s="112" t="s">
        <v>1971</v>
      </c>
      <c r="D118" s="122" t="s">
        <v>2069</v>
      </c>
      <c r="E118" s="122" t="s">
        <v>9</v>
      </c>
      <c r="F118" s="122">
        <v>235379</v>
      </c>
      <c r="G118" s="122">
        <v>231301</v>
      </c>
      <c r="H118" s="122"/>
      <c r="I118" s="122"/>
      <c r="J118" s="122"/>
      <c r="K118" s="122"/>
      <c r="L118" s="122"/>
      <c r="M118" s="122">
        <v>134121</v>
      </c>
      <c r="N118" s="122">
        <f t="shared" ref="N118:N131" si="140">AC118+AI118</f>
        <v>96758.888888888891</v>
      </c>
      <c r="O118" s="122"/>
      <c r="P118" s="122"/>
      <c r="Q118" s="26"/>
      <c r="R118" s="122"/>
      <c r="S118" s="122"/>
      <c r="T118" s="122"/>
      <c r="U118" s="26"/>
      <c r="V118" s="122"/>
      <c r="W118" s="122"/>
      <c r="X118" s="122"/>
      <c r="Y118" s="122"/>
      <c r="Z118" s="122"/>
      <c r="AA118" s="122"/>
      <c r="AB118" s="122">
        <v>87083</v>
      </c>
      <c r="AC118" s="26">
        <f t="shared" si="139"/>
        <v>87083</v>
      </c>
      <c r="AD118" s="122">
        <f t="shared" si="107"/>
        <v>1</v>
      </c>
      <c r="AE118" s="45">
        <v>87083</v>
      </c>
      <c r="AF118" s="122">
        <f t="shared" si="134"/>
        <v>1</v>
      </c>
      <c r="AG118" s="122"/>
      <c r="AH118" s="122"/>
      <c r="AI118" s="122">
        <f t="shared" si="136"/>
        <v>9675.8888888888887</v>
      </c>
      <c r="AJ118" s="122"/>
      <c r="AK118" s="122"/>
      <c r="AL118" s="122"/>
      <c r="AM118" s="122"/>
      <c r="AN118" s="122"/>
      <c r="AO118" s="122"/>
      <c r="AP118" s="122">
        <f t="shared" si="137"/>
        <v>-87083</v>
      </c>
      <c r="AQ118" s="122"/>
      <c r="AR118" s="34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26"/>
      <c r="BF118" s="122"/>
      <c r="BG118" s="122"/>
      <c r="BH118" s="122"/>
      <c r="BI118" s="122"/>
      <c r="BJ118" s="122"/>
      <c r="BK118" s="122"/>
      <c r="BL118" s="122"/>
      <c r="BM118" s="122"/>
      <c r="BN118" s="122" t="s">
        <v>1973</v>
      </c>
      <c r="BO118" s="122" t="s">
        <v>1974</v>
      </c>
      <c r="BP118" s="122" t="s">
        <v>1975</v>
      </c>
      <c r="BQ118" s="122" t="s">
        <v>1976</v>
      </c>
      <c r="BR118" s="122" t="s">
        <v>1977</v>
      </c>
      <c r="BS118" s="122" t="s">
        <v>1978</v>
      </c>
      <c r="BT118" s="55"/>
    </row>
    <row r="119" spans="1:72" ht="40.5" hidden="1" customHeight="1" outlineLevel="1" x14ac:dyDescent="0.25">
      <c r="A119" s="124"/>
      <c r="B119" s="59"/>
      <c r="C119" s="112" t="s">
        <v>1972</v>
      </c>
      <c r="D119" s="122" t="s">
        <v>2070</v>
      </c>
      <c r="E119" s="122" t="s">
        <v>9</v>
      </c>
      <c r="F119" s="122">
        <v>250351</v>
      </c>
      <c r="G119" s="122">
        <v>246506</v>
      </c>
      <c r="H119" s="122"/>
      <c r="I119" s="122"/>
      <c r="J119" s="122"/>
      <c r="K119" s="122"/>
      <c r="L119" s="122"/>
      <c r="M119" s="122">
        <v>229499</v>
      </c>
      <c r="N119" s="122">
        <f t="shared" si="140"/>
        <v>16948.888888888891</v>
      </c>
      <c r="O119" s="122"/>
      <c r="P119" s="122"/>
      <c r="Q119" s="26"/>
      <c r="R119" s="122"/>
      <c r="S119" s="122"/>
      <c r="T119" s="122"/>
      <c r="U119" s="26"/>
      <c r="V119" s="122"/>
      <c r="W119" s="122"/>
      <c r="X119" s="122"/>
      <c r="Y119" s="122"/>
      <c r="Z119" s="122"/>
      <c r="AA119" s="122"/>
      <c r="AB119" s="122">
        <v>15254</v>
      </c>
      <c r="AC119" s="26">
        <f t="shared" si="139"/>
        <v>15254</v>
      </c>
      <c r="AD119" s="122">
        <f t="shared" si="107"/>
        <v>1</v>
      </c>
      <c r="AE119" s="45">
        <v>15254</v>
      </c>
      <c r="AF119" s="122">
        <f t="shared" si="134"/>
        <v>1</v>
      </c>
      <c r="AG119" s="122"/>
      <c r="AH119" s="122"/>
      <c r="AI119" s="122">
        <f t="shared" si="136"/>
        <v>1694.8888888888887</v>
      </c>
      <c r="AJ119" s="122"/>
      <c r="AK119" s="122"/>
      <c r="AL119" s="122"/>
      <c r="AM119" s="122"/>
      <c r="AN119" s="122"/>
      <c r="AO119" s="122"/>
      <c r="AP119" s="122">
        <f t="shared" si="137"/>
        <v>-15254</v>
      </c>
      <c r="AQ119" s="122"/>
      <c r="AR119" s="34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26"/>
      <c r="BF119" s="122"/>
      <c r="BG119" s="122"/>
      <c r="BH119" s="122"/>
      <c r="BI119" s="122"/>
      <c r="BJ119" s="122"/>
      <c r="BK119" s="122"/>
      <c r="BL119" s="122"/>
      <c r="BM119" s="122"/>
      <c r="BN119" s="122" t="s">
        <v>1979</v>
      </c>
      <c r="BO119" s="122" t="s">
        <v>1974</v>
      </c>
      <c r="BP119" s="122" t="s">
        <v>1980</v>
      </c>
      <c r="BQ119" s="122" t="s">
        <v>1981</v>
      </c>
      <c r="BR119" s="122" t="s">
        <v>1982</v>
      </c>
      <c r="BS119" s="122" t="s">
        <v>1983</v>
      </c>
      <c r="BT119" s="55"/>
    </row>
    <row r="120" spans="1:72" ht="42" hidden="1" customHeight="1" outlineLevel="1" x14ac:dyDescent="0.25">
      <c r="A120" s="124"/>
      <c r="B120" s="59">
        <v>5</v>
      </c>
      <c r="C120" s="122" t="s">
        <v>1463</v>
      </c>
      <c r="D120" s="122" t="s">
        <v>728</v>
      </c>
      <c r="E120" s="122">
        <v>2016</v>
      </c>
      <c r="F120" s="122">
        <v>81746</v>
      </c>
      <c r="G120" s="122">
        <v>78727</v>
      </c>
      <c r="H120" s="122"/>
      <c r="I120" s="122"/>
      <c r="J120" s="122"/>
      <c r="K120" s="122"/>
      <c r="L120" s="122"/>
      <c r="M120" s="122">
        <v>0</v>
      </c>
      <c r="N120" s="122">
        <f t="shared" si="140"/>
        <v>0</v>
      </c>
      <c r="O120" s="122">
        <v>70854</v>
      </c>
      <c r="P120" s="122">
        <v>1</v>
      </c>
      <c r="Q120" s="26">
        <v>0</v>
      </c>
      <c r="R120" s="122">
        <v>0</v>
      </c>
      <c r="S120" s="122">
        <f t="shared" si="103"/>
        <v>0</v>
      </c>
      <c r="T120" s="122"/>
      <c r="U120" s="26">
        <f t="shared" ref="U120:V131" si="141">W120+Y120</f>
        <v>0</v>
      </c>
      <c r="V120" s="122">
        <f t="shared" si="141"/>
        <v>0</v>
      </c>
      <c r="W120" s="122"/>
      <c r="X120" s="122">
        <f t="shared" ref="X120:X131" si="142">IF(W120,1,0)</f>
        <v>0</v>
      </c>
      <c r="Y120" s="122"/>
      <c r="Z120" s="122"/>
      <c r="AA120" s="122">
        <v>0</v>
      </c>
      <c r="AB120" s="122"/>
      <c r="AC120" s="26">
        <f t="shared" si="107"/>
        <v>0</v>
      </c>
      <c r="AD120" s="122">
        <f t="shared" si="107"/>
        <v>0</v>
      </c>
      <c r="AE120" s="122"/>
      <c r="AF120" s="122">
        <f t="shared" si="134"/>
        <v>0</v>
      </c>
      <c r="AG120" s="122"/>
      <c r="AH120" s="122"/>
      <c r="AI120" s="122">
        <f t="shared" si="136"/>
        <v>0</v>
      </c>
      <c r="AJ120" s="122"/>
      <c r="AK120" s="122"/>
      <c r="AL120" s="122">
        <v>0</v>
      </c>
      <c r="AM120" s="122">
        <v>0</v>
      </c>
      <c r="AN120" s="122">
        <f t="shared" si="110"/>
        <v>-70854</v>
      </c>
      <c r="AO120" s="122"/>
      <c r="AP120" s="122">
        <f t="shared" si="137"/>
        <v>0</v>
      </c>
      <c r="AQ120" s="122"/>
      <c r="AR120" s="34">
        <f t="shared" si="138"/>
        <v>70854</v>
      </c>
      <c r="AS120" s="10">
        <f t="shared" si="111"/>
        <v>1</v>
      </c>
      <c r="AT120" s="10"/>
      <c r="AU120" s="10">
        <f t="shared" si="112"/>
        <v>0</v>
      </c>
      <c r="AV120" s="10">
        <v>70854</v>
      </c>
      <c r="AW120" s="10">
        <f t="shared" si="119"/>
        <v>1</v>
      </c>
      <c r="AX120" s="10"/>
      <c r="AY120" s="10">
        <v>1</v>
      </c>
      <c r="AZ120" s="10"/>
      <c r="BA120" s="10">
        <v>0</v>
      </c>
      <c r="BB120" s="10">
        <v>0</v>
      </c>
      <c r="BC120" s="10">
        <f t="shared" si="100"/>
        <v>0</v>
      </c>
      <c r="BD120" s="10"/>
      <c r="BE120" s="26">
        <f t="shared" si="113"/>
        <v>0</v>
      </c>
      <c r="BF120" s="122">
        <f t="shared" si="113"/>
        <v>0</v>
      </c>
      <c r="BG120" s="122"/>
      <c r="BH120" s="122">
        <f t="shared" si="114"/>
        <v>0</v>
      </c>
      <c r="BI120" s="122"/>
      <c r="BJ120" s="122">
        <f t="shared" si="115"/>
        <v>0</v>
      </c>
      <c r="BK120" s="122"/>
      <c r="BL120" s="122"/>
      <c r="BM120" s="122"/>
      <c r="BN120" s="122" t="s">
        <v>729</v>
      </c>
      <c r="BO120" s="122" t="s">
        <v>1587</v>
      </c>
      <c r="BP120" s="122" t="s">
        <v>730</v>
      </c>
      <c r="BQ120" s="122" t="s">
        <v>731</v>
      </c>
      <c r="BR120" s="122" t="s">
        <v>732</v>
      </c>
      <c r="BS120" s="122" t="s">
        <v>733</v>
      </c>
      <c r="BT120" s="55" t="s">
        <v>11</v>
      </c>
    </row>
    <row r="121" spans="1:72" ht="39.75" hidden="1" customHeight="1" outlineLevel="1" x14ac:dyDescent="0.25">
      <c r="A121" s="124"/>
      <c r="B121" s="59">
        <v>6</v>
      </c>
      <c r="C121" s="122" t="s">
        <v>1464</v>
      </c>
      <c r="D121" s="122" t="s">
        <v>734</v>
      </c>
      <c r="E121" s="122">
        <v>2016</v>
      </c>
      <c r="F121" s="122">
        <v>302510</v>
      </c>
      <c r="G121" s="122">
        <v>293409</v>
      </c>
      <c r="H121" s="122"/>
      <c r="I121" s="122"/>
      <c r="J121" s="122"/>
      <c r="K121" s="122"/>
      <c r="L121" s="122"/>
      <c r="M121" s="122">
        <v>0</v>
      </c>
      <c r="N121" s="122">
        <f t="shared" si="140"/>
        <v>0</v>
      </c>
      <c r="O121" s="122">
        <v>264068</v>
      </c>
      <c r="P121" s="122">
        <v>1</v>
      </c>
      <c r="Q121" s="26">
        <v>0</v>
      </c>
      <c r="R121" s="122">
        <v>0</v>
      </c>
      <c r="S121" s="122">
        <f t="shared" si="103"/>
        <v>0</v>
      </c>
      <c r="T121" s="122"/>
      <c r="U121" s="26">
        <f>Y121</f>
        <v>0</v>
      </c>
      <c r="V121" s="122">
        <f t="shared" si="141"/>
        <v>0</v>
      </c>
      <c r="W121" s="122"/>
      <c r="X121" s="122">
        <f t="shared" si="142"/>
        <v>0</v>
      </c>
      <c r="Y121" s="122"/>
      <c r="Z121" s="122">
        <f t="shared" ref="Z121:Z131" si="143">IF(Y121,1,0)</f>
        <v>0</v>
      </c>
      <c r="AA121" s="122">
        <v>0</v>
      </c>
      <c r="AB121" s="122"/>
      <c r="AC121" s="26">
        <f>AG121</f>
        <v>0</v>
      </c>
      <c r="AD121" s="122">
        <f t="shared" si="107"/>
        <v>0</v>
      </c>
      <c r="AE121" s="122"/>
      <c r="AF121" s="122">
        <f t="shared" si="134"/>
        <v>0</v>
      </c>
      <c r="AG121" s="122"/>
      <c r="AH121" s="122">
        <f t="shared" si="135"/>
        <v>0</v>
      </c>
      <c r="AI121" s="122">
        <f t="shared" si="136"/>
        <v>0</v>
      </c>
      <c r="AJ121" s="122"/>
      <c r="AK121" s="122"/>
      <c r="AL121" s="122">
        <v>264068</v>
      </c>
      <c r="AM121" s="122">
        <v>1</v>
      </c>
      <c r="AN121" s="122">
        <f t="shared" si="110"/>
        <v>0</v>
      </c>
      <c r="AO121" s="122"/>
      <c r="AP121" s="122">
        <f t="shared" si="137"/>
        <v>0</v>
      </c>
      <c r="AQ121" s="122"/>
      <c r="AR121" s="34">
        <f t="shared" si="138"/>
        <v>264068</v>
      </c>
      <c r="AS121" s="10">
        <f t="shared" si="111"/>
        <v>1</v>
      </c>
      <c r="AT121" s="10"/>
      <c r="AU121" s="10">
        <f t="shared" si="112"/>
        <v>0</v>
      </c>
      <c r="AV121" s="10">
        <v>264068</v>
      </c>
      <c r="AW121" s="10">
        <f t="shared" si="119"/>
        <v>1</v>
      </c>
      <c r="AX121" s="10">
        <f>AR121/0.9*0.1</f>
        <v>29340.888888888891</v>
      </c>
      <c r="AY121" s="10">
        <v>1</v>
      </c>
      <c r="AZ121" s="10"/>
      <c r="BA121" s="10">
        <v>0</v>
      </c>
      <c r="BB121" s="10">
        <v>0</v>
      </c>
      <c r="BC121" s="10">
        <f t="shared" si="100"/>
        <v>0</v>
      </c>
      <c r="BD121" s="10"/>
      <c r="BE121" s="26">
        <f t="shared" si="113"/>
        <v>0</v>
      </c>
      <c r="BF121" s="122">
        <f t="shared" si="113"/>
        <v>0</v>
      </c>
      <c r="BG121" s="122"/>
      <c r="BH121" s="122">
        <f t="shared" si="114"/>
        <v>0</v>
      </c>
      <c r="BI121" s="122"/>
      <c r="BJ121" s="122">
        <f t="shared" si="115"/>
        <v>0</v>
      </c>
      <c r="BK121" s="122"/>
      <c r="BL121" s="122"/>
      <c r="BM121" s="122"/>
      <c r="BN121" s="122" t="s">
        <v>735</v>
      </c>
      <c r="BO121" s="122" t="s">
        <v>1587</v>
      </c>
      <c r="BP121" s="122" t="s">
        <v>736</v>
      </c>
      <c r="BQ121" s="122" t="s">
        <v>737</v>
      </c>
      <c r="BR121" s="122" t="s">
        <v>738</v>
      </c>
      <c r="BS121" s="122" t="s">
        <v>739</v>
      </c>
      <c r="BT121" s="55" t="s">
        <v>740</v>
      </c>
    </row>
    <row r="122" spans="1:72" ht="54" hidden="1" customHeight="1" outlineLevel="1" x14ac:dyDescent="0.25">
      <c r="A122" s="124"/>
      <c r="B122" s="59">
        <v>7</v>
      </c>
      <c r="C122" s="122" t="s">
        <v>1465</v>
      </c>
      <c r="D122" s="122" t="s">
        <v>742</v>
      </c>
      <c r="E122" s="122" t="s">
        <v>10</v>
      </c>
      <c r="F122" s="122">
        <v>1351414</v>
      </c>
      <c r="G122" s="122">
        <v>1337978</v>
      </c>
      <c r="H122" s="122"/>
      <c r="I122" s="122"/>
      <c r="J122" s="122"/>
      <c r="K122" s="122"/>
      <c r="L122" s="122"/>
      <c r="M122" s="122">
        <v>0</v>
      </c>
      <c r="N122" s="122">
        <f t="shared" si="140"/>
        <v>0</v>
      </c>
      <c r="O122" s="122">
        <v>602090</v>
      </c>
      <c r="P122" s="122">
        <v>1</v>
      </c>
      <c r="Q122" s="26">
        <v>250000</v>
      </c>
      <c r="R122" s="122">
        <v>1</v>
      </c>
      <c r="S122" s="122">
        <f t="shared" si="103"/>
        <v>250000</v>
      </c>
      <c r="T122" s="122"/>
      <c r="U122" s="26">
        <f t="shared" si="141"/>
        <v>250000</v>
      </c>
      <c r="V122" s="122">
        <f t="shared" si="141"/>
        <v>1</v>
      </c>
      <c r="W122" s="122"/>
      <c r="X122" s="122">
        <f t="shared" si="142"/>
        <v>0</v>
      </c>
      <c r="Y122" s="122">
        <v>250000</v>
      </c>
      <c r="Z122" s="122">
        <f t="shared" si="143"/>
        <v>1</v>
      </c>
      <c r="AA122" s="122">
        <v>-250000</v>
      </c>
      <c r="AB122" s="122"/>
      <c r="AC122" s="26">
        <f t="shared" si="107"/>
        <v>0</v>
      </c>
      <c r="AD122" s="122">
        <f t="shared" si="107"/>
        <v>0</v>
      </c>
      <c r="AE122" s="122"/>
      <c r="AF122" s="122">
        <f t="shared" si="134"/>
        <v>0</v>
      </c>
      <c r="AG122" s="122"/>
      <c r="AH122" s="122">
        <f t="shared" si="135"/>
        <v>0</v>
      </c>
      <c r="AI122" s="122">
        <f t="shared" si="136"/>
        <v>0</v>
      </c>
      <c r="AJ122" s="122"/>
      <c r="AK122" s="122">
        <v>1</v>
      </c>
      <c r="AL122" s="122">
        <v>954180</v>
      </c>
      <c r="AM122" s="122">
        <v>1</v>
      </c>
      <c r="AN122" s="122">
        <f t="shared" si="110"/>
        <v>-250000</v>
      </c>
      <c r="AO122" s="122"/>
      <c r="AP122" s="122">
        <f t="shared" si="137"/>
        <v>250000</v>
      </c>
      <c r="AQ122" s="122"/>
      <c r="AR122" s="34">
        <f t="shared" si="138"/>
        <v>1204180</v>
      </c>
      <c r="AS122" s="10">
        <f t="shared" si="111"/>
        <v>1</v>
      </c>
      <c r="AT122" s="10"/>
      <c r="AU122" s="10">
        <f t="shared" si="112"/>
        <v>0</v>
      </c>
      <c r="AV122" s="10">
        <f>954180+250000</f>
        <v>1204180</v>
      </c>
      <c r="AW122" s="10">
        <f t="shared" si="119"/>
        <v>1</v>
      </c>
      <c r="AX122" s="10">
        <f>AR122/0.9*0.1</f>
        <v>133797.77777777778</v>
      </c>
      <c r="AY122" s="10">
        <v>1</v>
      </c>
      <c r="AZ122" s="10"/>
      <c r="BA122" s="10">
        <v>0</v>
      </c>
      <c r="BB122" s="10">
        <v>0</v>
      </c>
      <c r="BC122" s="10">
        <f t="shared" si="100"/>
        <v>0</v>
      </c>
      <c r="BD122" s="10"/>
      <c r="BE122" s="26">
        <f t="shared" si="113"/>
        <v>0</v>
      </c>
      <c r="BF122" s="122">
        <f t="shared" si="113"/>
        <v>0</v>
      </c>
      <c r="BG122" s="122"/>
      <c r="BH122" s="122">
        <f t="shared" si="114"/>
        <v>0</v>
      </c>
      <c r="BI122" s="122"/>
      <c r="BJ122" s="122">
        <f t="shared" si="115"/>
        <v>0</v>
      </c>
      <c r="BK122" s="122"/>
      <c r="BL122" s="122"/>
      <c r="BM122" s="122"/>
      <c r="BN122" s="122" t="s">
        <v>741</v>
      </c>
      <c r="BO122" s="122" t="s">
        <v>1588</v>
      </c>
      <c r="BP122" s="122" t="s">
        <v>746</v>
      </c>
      <c r="BQ122" s="122" t="s">
        <v>743</v>
      </c>
      <c r="BR122" s="122" t="s">
        <v>1274</v>
      </c>
      <c r="BS122" s="122" t="s">
        <v>744</v>
      </c>
      <c r="BT122" s="55" t="s">
        <v>745</v>
      </c>
    </row>
    <row r="123" spans="1:72" ht="42" hidden="1" customHeight="1" outlineLevel="1" x14ac:dyDescent="0.25">
      <c r="A123" s="124"/>
      <c r="B123" s="59">
        <v>8</v>
      </c>
      <c r="C123" s="122" t="s">
        <v>1466</v>
      </c>
      <c r="D123" s="122" t="s">
        <v>753</v>
      </c>
      <c r="E123" s="122">
        <v>2015</v>
      </c>
      <c r="F123" s="122">
        <v>327835.19900000002</v>
      </c>
      <c r="G123" s="122">
        <v>322457</v>
      </c>
      <c r="H123" s="122"/>
      <c r="I123" s="122"/>
      <c r="J123" s="122"/>
      <c r="K123" s="122"/>
      <c r="L123" s="122"/>
      <c r="M123" s="122">
        <v>0</v>
      </c>
      <c r="N123" s="122">
        <f t="shared" si="140"/>
        <v>0</v>
      </c>
      <c r="O123" s="122">
        <v>290211</v>
      </c>
      <c r="P123" s="122">
        <v>1</v>
      </c>
      <c r="Q123" s="26">
        <v>290211</v>
      </c>
      <c r="R123" s="122">
        <v>1</v>
      </c>
      <c r="S123" s="122">
        <f t="shared" si="103"/>
        <v>290211</v>
      </c>
      <c r="T123" s="122"/>
      <c r="U123" s="26">
        <f t="shared" si="141"/>
        <v>290211</v>
      </c>
      <c r="V123" s="122">
        <f t="shared" si="141"/>
        <v>1</v>
      </c>
      <c r="W123" s="122"/>
      <c r="X123" s="122">
        <f t="shared" si="142"/>
        <v>0</v>
      </c>
      <c r="Y123" s="122">
        <v>290211</v>
      </c>
      <c r="Z123" s="122">
        <f t="shared" si="143"/>
        <v>1</v>
      </c>
      <c r="AA123" s="122">
        <v>-290211</v>
      </c>
      <c r="AB123" s="122"/>
      <c r="AC123" s="26">
        <f t="shared" si="107"/>
        <v>0</v>
      </c>
      <c r="AD123" s="122">
        <f t="shared" si="107"/>
        <v>0</v>
      </c>
      <c r="AE123" s="122"/>
      <c r="AF123" s="122">
        <f t="shared" si="134"/>
        <v>0</v>
      </c>
      <c r="AG123" s="122"/>
      <c r="AH123" s="122">
        <f t="shared" si="135"/>
        <v>0</v>
      </c>
      <c r="AI123" s="122">
        <f t="shared" si="136"/>
        <v>0</v>
      </c>
      <c r="AJ123" s="122">
        <v>1</v>
      </c>
      <c r="AK123" s="122"/>
      <c r="AL123" s="122">
        <v>0</v>
      </c>
      <c r="AM123" s="122">
        <v>0</v>
      </c>
      <c r="AN123" s="122">
        <f t="shared" si="110"/>
        <v>-290211</v>
      </c>
      <c r="AO123" s="122"/>
      <c r="AP123" s="122">
        <f t="shared" si="137"/>
        <v>290211</v>
      </c>
      <c r="AQ123" s="122"/>
      <c r="AR123" s="34">
        <f t="shared" si="138"/>
        <v>290211</v>
      </c>
      <c r="AS123" s="10">
        <f t="shared" si="111"/>
        <v>1</v>
      </c>
      <c r="AT123" s="10"/>
      <c r="AU123" s="10">
        <f t="shared" si="112"/>
        <v>0</v>
      </c>
      <c r="AV123" s="10">
        <f>290211</f>
        <v>290211</v>
      </c>
      <c r="AW123" s="10">
        <f t="shared" si="119"/>
        <v>1</v>
      </c>
      <c r="AX123" s="10">
        <f>AR123/0.9*0.1</f>
        <v>32245.666666666672</v>
      </c>
      <c r="AY123" s="10"/>
      <c r="AZ123" s="10"/>
      <c r="BA123" s="10">
        <v>0</v>
      </c>
      <c r="BB123" s="10">
        <v>0</v>
      </c>
      <c r="BC123" s="10">
        <f t="shared" si="100"/>
        <v>0</v>
      </c>
      <c r="BD123" s="10"/>
      <c r="BE123" s="26">
        <f t="shared" si="113"/>
        <v>0</v>
      </c>
      <c r="BF123" s="122">
        <f t="shared" si="113"/>
        <v>0</v>
      </c>
      <c r="BG123" s="122"/>
      <c r="BH123" s="122">
        <f t="shared" si="114"/>
        <v>0</v>
      </c>
      <c r="BI123" s="122"/>
      <c r="BJ123" s="122">
        <f t="shared" si="115"/>
        <v>0</v>
      </c>
      <c r="BK123" s="122"/>
      <c r="BL123" s="122"/>
      <c r="BM123" s="122"/>
      <c r="BN123" s="122" t="s">
        <v>754</v>
      </c>
      <c r="BO123" s="122" t="s">
        <v>1589</v>
      </c>
      <c r="BP123" s="122" t="s">
        <v>755</v>
      </c>
      <c r="BQ123" s="122" t="s">
        <v>756</v>
      </c>
      <c r="BR123" s="122" t="s">
        <v>757</v>
      </c>
      <c r="BS123" s="122" t="s">
        <v>758</v>
      </c>
      <c r="BT123" s="55" t="s">
        <v>759</v>
      </c>
    </row>
    <row r="124" spans="1:72" ht="69.75" hidden="1" customHeight="1" outlineLevel="1" x14ac:dyDescent="0.25">
      <c r="A124" s="124"/>
      <c r="B124" s="59">
        <v>9</v>
      </c>
      <c r="C124" s="67" t="s">
        <v>760</v>
      </c>
      <c r="D124" s="122" t="s">
        <v>761</v>
      </c>
      <c r="E124" s="122">
        <v>2015</v>
      </c>
      <c r="F124" s="122">
        <v>254960</v>
      </c>
      <c r="G124" s="122">
        <v>251763</v>
      </c>
      <c r="H124" s="122"/>
      <c r="I124" s="122"/>
      <c r="J124" s="122"/>
      <c r="K124" s="122"/>
      <c r="L124" s="122"/>
      <c r="M124" s="122">
        <v>0</v>
      </c>
      <c r="N124" s="122">
        <f t="shared" si="140"/>
        <v>0</v>
      </c>
      <c r="O124" s="122">
        <v>226587</v>
      </c>
      <c r="P124" s="122">
        <v>1</v>
      </c>
      <c r="Q124" s="26">
        <v>226587</v>
      </c>
      <c r="R124" s="122">
        <v>1</v>
      </c>
      <c r="S124" s="122">
        <f t="shared" si="103"/>
        <v>226587</v>
      </c>
      <c r="T124" s="122"/>
      <c r="U124" s="26">
        <f t="shared" si="141"/>
        <v>226587</v>
      </c>
      <c r="V124" s="122">
        <f t="shared" si="141"/>
        <v>1</v>
      </c>
      <c r="W124" s="122"/>
      <c r="X124" s="122">
        <f t="shared" si="142"/>
        <v>0</v>
      </c>
      <c r="Y124" s="122">
        <v>226587</v>
      </c>
      <c r="Z124" s="122">
        <f t="shared" si="143"/>
        <v>1</v>
      </c>
      <c r="AA124" s="122">
        <v>-226587</v>
      </c>
      <c r="AB124" s="122"/>
      <c r="AC124" s="26">
        <f t="shared" si="107"/>
        <v>0</v>
      </c>
      <c r="AD124" s="122">
        <f t="shared" si="107"/>
        <v>0</v>
      </c>
      <c r="AE124" s="122"/>
      <c r="AF124" s="122">
        <f t="shared" si="134"/>
        <v>0</v>
      </c>
      <c r="AG124" s="122"/>
      <c r="AH124" s="122">
        <f t="shared" si="135"/>
        <v>0</v>
      </c>
      <c r="AI124" s="122">
        <f t="shared" si="136"/>
        <v>0</v>
      </c>
      <c r="AJ124" s="122">
        <v>1</v>
      </c>
      <c r="AK124" s="122"/>
      <c r="AL124" s="122">
        <v>0</v>
      </c>
      <c r="AM124" s="122">
        <v>0</v>
      </c>
      <c r="AN124" s="122">
        <f t="shared" si="110"/>
        <v>-226587</v>
      </c>
      <c r="AO124" s="122"/>
      <c r="AP124" s="122">
        <f t="shared" si="137"/>
        <v>226587</v>
      </c>
      <c r="AQ124" s="122"/>
      <c r="AR124" s="34">
        <f t="shared" si="138"/>
        <v>226587</v>
      </c>
      <c r="AS124" s="10">
        <f t="shared" si="111"/>
        <v>1</v>
      </c>
      <c r="AT124" s="10"/>
      <c r="AU124" s="10">
        <f t="shared" si="112"/>
        <v>0</v>
      </c>
      <c r="AV124" s="10">
        <f>146587+80000</f>
        <v>226587</v>
      </c>
      <c r="AW124" s="10">
        <f t="shared" si="119"/>
        <v>1</v>
      </c>
      <c r="AX124" s="10">
        <f>AR124/0.9*0.1</f>
        <v>25176.333333333332</v>
      </c>
      <c r="AY124" s="10"/>
      <c r="AZ124" s="10"/>
      <c r="BA124" s="10">
        <v>0</v>
      </c>
      <c r="BB124" s="10">
        <v>0</v>
      </c>
      <c r="BC124" s="10">
        <f t="shared" si="100"/>
        <v>0</v>
      </c>
      <c r="BD124" s="10"/>
      <c r="BE124" s="26">
        <f t="shared" si="113"/>
        <v>0</v>
      </c>
      <c r="BF124" s="122">
        <f t="shared" si="113"/>
        <v>0</v>
      </c>
      <c r="BG124" s="122"/>
      <c r="BH124" s="122">
        <f t="shared" si="114"/>
        <v>0</v>
      </c>
      <c r="BI124" s="122"/>
      <c r="BJ124" s="122">
        <f t="shared" si="115"/>
        <v>0</v>
      </c>
      <c r="BK124" s="122"/>
      <c r="BL124" s="122"/>
      <c r="BM124" s="122"/>
      <c r="BN124" s="122" t="s">
        <v>762</v>
      </c>
      <c r="BO124" s="122" t="s">
        <v>1590</v>
      </c>
      <c r="BP124" s="122" t="s">
        <v>763</v>
      </c>
      <c r="BQ124" s="122" t="s">
        <v>764</v>
      </c>
      <c r="BR124" s="122" t="s">
        <v>765</v>
      </c>
      <c r="BS124" s="122" t="s">
        <v>766</v>
      </c>
      <c r="BT124" s="55" t="s">
        <v>767</v>
      </c>
    </row>
    <row r="125" spans="1:72" ht="30.75" hidden="1" customHeight="1" outlineLevel="1" x14ac:dyDescent="0.25">
      <c r="A125" s="124"/>
      <c r="B125" s="59">
        <v>10</v>
      </c>
      <c r="C125" s="122" t="s">
        <v>326</v>
      </c>
      <c r="D125" s="122" t="s">
        <v>781</v>
      </c>
      <c r="E125" s="122">
        <v>2015</v>
      </c>
      <c r="F125" s="122">
        <v>447275.78399999999</v>
      </c>
      <c r="G125" s="122">
        <v>435766</v>
      </c>
      <c r="H125" s="122"/>
      <c r="I125" s="122"/>
      <c r="J125" s="122"/>
      <c r="K125" s="122"/>
      <c r="L125" s="122"/>
      <c r="M125" s="122">
        <v>0</v>
      </c>
      <c r="N125" s="122">
        <f t="shared" si="140"/>
        <v>0</v>
      </c>
      <c r="O125" s="122">
        <v>392189</v>
      </c>
      <c r="P125" s="122">
        <v>1</v>
      </c>
      <c r="Q125" s="26">
        <v>392189</v>
      </c>
      <c r="R125" s="122">
        <v>1</v>
      </c>
      <c r="S125" s="122">
        <f t="shared" si="103"/>
        <v>392189</v>
      </c>
      <c r="T125" s="122"/>
      <c r="U125" s="26">
        <f t="shared" si="141"/>
        <v>150000</v>
      </c>
      <c r="V125" s="122">
        <f t="shared" si="141"/>
        <v>1</v>
      </c>
      <c r="W125" s="122"/>
      <c r="X125" s="122">
        <f t="shared" si="142"/>
        <v>0</v>
      </c>
      <c r="Y125" s="122">
        <v>150000</v>
      </c>
      <c r="Z125" s="122">
        <f t="shared" si="143"/>
        <v>1</v>
      </c>
      <c r="AA125" s="122">
        <v>-150000</v>
      </c>
      <c r="AB125" s="122"/>
      <c r="AC125" s="26">
        <f t="shared" si="107"/>
        <v>0</v>
      </c>
      <c r="AD125" s="122">
        <f t="shared" si="107"/>
        <v>0</v>
      </c>
      <c r="AE125" s="122"/>
      <c r="AF125" s="122">
        <f t="shared" si="134"/>
        <v>0</v>
      </c>
      <c r="AG125" s="122"/>
      <c r="AH125" s="122">
        <f t="shared" si="135"/>
        <v>0</v>
      </c>
      <c r="AI125" s="122">
        <f t="shared" si="136"/>
        <v>0</v>
      </c>
      <c r="AJ125" s="122"/>
      <c r="AK125" s="122">
        <v>1</v>
      </c>
      <c r="AL125" s="122">
        <v>0</v>
      </c>
      <c r="AM125" s="122">
        <v>0</v>
      </c>
      <c r="AN125" s="122">
        <f t="shared" si="110"/>
        <v>-392189</v>
      </c>
      <c r="AO125" s="122"/>
      <c r="AP125" s="122">
        <f t="shared" si="137"/>
        <v>150000</v>
      </c>
      <c r="AQ125" s="122"/>
      <c r="AR125" s="34">
        <f t="shared" si="138"/>
        <v>392189</v>
      </c>
      <c r="AS125" s="10">
        <f t="shared" si="111"/>
        <v>1</v>
      </c>
      <c r="AT125" s="10"/>
      <c r="AU125" s="10">
        <f t="shared" si="112"/>
        <v>0</v>
      </c>
      <c r="AV125" s="10">
        <f>242189+150000</f>
        <v>392189</v>
      </c>
      <c r="AW125" s="10">
        <f t="shared" si="119"/>
        <v>1</v>
      </c>
      <c r="AX125" s="10">
        <f>AV125/0.9*0.1</f>
        <v>43576.555555555562</v>
      </c>
      <c r="AY125" s="10">
        <v>1</v>
      </c>
      <c r="AZ125" s="10"/>
      <c r="BA125" s="10">
        <v>0</v>
      </c>
      <c r="BB125" s="10">
        <v>0</v>
      </c>
      <c r="BC125" s="10">
        <f t="shared" si="100"/>
        <v>0</v>
      </c>
      <c r="BD125" s="10"/>
      <c r="BE125" s="26">
        <f t="shared" si="113"/>
        <v>0</v>
      </c>
      <c r="BF125" s="122">
        <f t="shared" si="113"/>
        <v>0</v>
      </c>
      <c r="BG125" s="122"/>
      <c r="BH125" s="122">
        <f t="shared" si="114"/>
        <v>0</v>
      </c>
      <c r="BI125" s="122"/>
      <c r="BJ125" s="122">
        <f t="shared" si="115"/>
        <v>0</v>
      </c>
      <c r="BK125" s="122"/>
      <c r="BL125" s="122"/>
      <c r="BM125" s="122"/>
      <c r="BN125" s="122" t="s">
        <v>782</v>
      </c>
      <c r="BO125" s="122" t="s">
        <v>1591</v>
      </c>
      <c r="BP125" s="122" t="s">
        <v>783</v>
      </c>
      <c r="BQ125" s="122" t="s">
        <v>784</v>
      </c>
      <c r="BR125" s="122" t="s">
        <v>785</v>
      </c>
      <c r="BS125" s="122" t="s">
        <v>786</v>
      </c>
      <c r="BT125" s="55" t="s">
        <v>787</v>
      </c>
    </row>
    <row r="126" spans="1:72" ht="42" hidden="1" customHeight="1" outlineLevel="1" x14ac:dyDescent="0.25">
      <c r="A126" s="124"/>
      <c r="B126" s="59">
        <v>11</v>
      </c>
      <c r="C126" s="122" t="s">
        <v>1467</v>
      </c>
      <c r="D126" s="122" t="s">
        <v>788</v>
      </c>
      <c r="E126" s="122" t="s">
        <v>10</v>
      </c>
      <c r="F126" s="122">
        <v>679576.28899999999</v>
      </c>
      <c r="G126" s="122">
        <v>672599</v>
      </c>
      <c r="H126" s="122"/>
      <c r="I126" s="122"/>
      <c r="J126" s="122"/>
      <c r="K126" s="122"/>
      <c r="L126" s="122"/>
      <c r="M126" s="122">
        <v>0</v>
      </c>
      <c r="N126" s="122">
        <f t="shared" si="140"/>
        <v>0</v>
      </c>
      <c r="O126" s="122">
        <v>605339</v>
      </c>
      <c r="P126" s="122">
        <v>1</v>
      </c>
      <c r="Q126" s="26">
        <v>200000</v>
      </c>
      <c r="R126" s="122">
        <v>1</v>
      </c>
      <c r="S126" s="122">
        <f t="shared" si="103"/>
        <v>200000</v>
      </c>
      <c r="T126" s="122"/>
      <c r="U126" s="26">
        <f t="shared" si="141"/>
        <v>200000</v>
      </c>
      <c r="V126" s="122">
        <f t="shared" si="141"/>
        <v>1</v>
      </c>
      <c r="W126" s="122"/>
      <c r="X126" s="122">
        <f t="shared" si="142"/>
        <v>0</v>
      </c>
      <c r="Y126" s="122">
        <v>200000</v>
      </c>
      <c r="Z126" s="122">
        <f t="shared" si="143"/>
        <v>1</v>
      </c>
      <c r="AA126" s="122">
        <v>-200000</v>
      </c>
      <c r="AB126" s="122"/>
      <c r="AC126" s="26">
        <f t="shared" si="107"/>
        <v>0</v>
      </c>
      <c r="AD126" s="122">
        <f t="shared" si="107"/>
        <v>0</v>
      </c>
      <c r="AE126" s="122"/>
      <c r="AF126" s="122">
        <f t="shared" si="134"/>
        <v>0</v>
      </c>
      <c r="AG126" s="122"/>
      <c r="AH126" s="122">
        <f t="shared" si="135"/>
        <v>0</v>
      </c>
      <c r="AI126" s="122">
        <f t="shared" si="136"/>
        <v>0</v>
      </c>
      <c r="AJ126" s="122"/>
      <c r="AK126" s="122">
        <v>1</v>
      </c>
      <c r="AL126" s="122">
        <v>405339</v>
      </c>
      <c r="AM126" s="122">
        <v>1</v>
      </c>
      <c r="AN126" s="122">
        <f t="shared" si="110"/>
        <v>-200000</v>
      </c>
      <c r="AO126" s="122"/>
      <c r="AP126" s="122">
        <f t="shared" si="137"/>
        <v>200000</v>
      </c>
      <c r="AQ126" s="122"/>
      <c r="AR126" s="34">
        <f t="shared" si="138"/>
        <v>605339</v>
      </c>
      <c r="AS126" s="10">
        <f t="shared" si="111"/>
        <v>1</v>
      </c>
      <c r="AT126" s="10"/>
      <c r="AU126" s="10">
        <f t="shared" si="112"/>
        <v>0</v>
      </c>
      <c r="AV126" s="10">
        <f>605339</f>
        <v>605339</v>
      </c>
      <c r="AW126" s="10">
        <f t="shared" si="119"/>
        <v>1</v>
      </c>
      <c r="AX126" s="10">
        <f>AV126/0.9*0.1</f>
        <v>67259.888888888891</v>
      </c>
      <c r="AY126" s="10">
        <v>1</v>
      </c>
      <c r="AZ126" s="10"/>
      <c r="BA126" s="10">
        <v>0</v>
      </c>
      <c r="BB126" s="10">
        <v>0</v>
      </c>
      <c r="BC126" s="10">
        <f t="shared" si="100"/>
        <v>0</v>
      </c>
      <c r="BD126" s="10"/>
      <c r="BE126" s="26">
        <f t="shared" si="113"/>
        <v>0</v>
      </c>
      <c r="BF126" s="122">
        <f t="shared" si="113"/>
        <v>0</v>
      </c>
      <c r="BG126" s="122"/>
      <c r="BH126" s="122">
        <f t="shared" si="114"/>
        <v>0</v>
      </c>
      <c r="BI126" s="122"/>
      <c r="BJ126" s="122">
        <f t="shared" si="115"/>
        <v>0</v>
      </c>
      <c r="BK126" s="122"/>
      <c r="BL126" s="122"/>
      <c r="BM126" s="122"/>
      <c r="BN126" s="122" t="s">
        <v>789</v>
      </c>
      <c r="BO126" s="122" t="s">
        <v>1592</v>
      </c>
      <c r="BP126" s="122" t="s">
        <v>790</v>
      </c>
      <c r="BQ126" s="122" t="s">
        <v>791</v>
      </c>
      <c r="BR126" s="122" t="s">
        <v>792</v>
      </c>
      <c r="BS126" s="122" t="s">
        <v>11</v>
      </c>
      <c r="BT126" s="55" t="s">
        <v>793</v>
      </c>
    </row>
    <row r="127" spans="1:72" ht="39.75" hidden="1" customHeight="1" outlineLevel="1" x14ac:dyDescent="0.25">
      <c r="A127" s="124"/>
      <c r="B127" s="59">
        <v>12</v>
      </c>
      <c r="C127" s="122" t="s">
        <v>1468</v>
      </c>
      <c r="D127" s="122" t="s">
        <v>801</v>
      </c>
      <c r="E127" s="122">
        <v>2016</v>
      </c>
      <c r="F127" s="122">
        <v>669750</v>
      </c>
      <c r="G127" s="122">
        <v>656552</v>
      </c>
      <c r="H127" s="122"/>
      <c r="I127" s="122"/>
      <c r="J127" s="122"/>
      <c r="K127" s="122"/>
      <c r="L127" s="122"/>
      <c r="M127" s="122">
        <v>0</v>
      </c>
      <c r="N127" s="122">
        <f t="shared" si="140"/>
        <v>0</v>
      </c>
      <c r="O127" s="122">
        <v>590897</v>
      </c>
      <c r="P127" s="122">
        <v>1</v>
      </c>
      <c r="Q127" s="26">
        <v>0</v>
      </c>
      <c r="R127" s="122">
        <v>0</v>
      </c>
      <c r="S127" s="122">
        <f t="shared" si="103"/>
        <v>0</v>
      </c>
      <c r="T127" s="122"/>
      <c r="U127" s="26">
        <f t="shared" si="141"/>
        <v>0</v>
      </c>
      <c r="V127" s="122">
        <f t="shared" si="141"/>
        <v>0</v>
      </c>
      <c r="W127" s="122"/>
      <c r="X127" s="122">
        <f t="shared" si="142"/>
        <v>0</v>
      </c>
      <c r="Y127" s="122"/>
      <c r="Z127" s="122">
        <f t="shared" si="143"/>
        <v>0</v>
      </c>
      <c r="AA127" s="122">
        <v>0</v>
      </c>
      <c r="AB127" s="122"/>
      <c r="AC127" s="26">
        <f t="shared" si="107"/>
        <v>0</v>
      </c>
      <c r="AD127" s="122">
        <f t="shared" si="107"/>
        <v>0</v>
      </c>
      <c r="AE127" s="122"/>
      <c r="AF127" s="122">
        <f t="shared" si="134"/>
        <v>0</v>
      </c>
      <c r="AG127" s="122"/>
      <c r="AH127" s="122">
        <f t="shared" si="135"/>
        <v>0</v>
      </c>
      <c r="AI127" s="122">
        <f t="shared" si="136"/>
        <v>0</v>
      </c>
      <c r="AJ127" s="122"/>
      <c r="AK127" s="122"/>
      <c r="AL127" s="122">
        <v>590897</v>
      </c>
      <c r="AM127" s="122">
        <v>1</v>
      </c>
      <c r="AN127" s="122">
        <f t="shared" si="110"/>
        <v>0</v>
      </c>
      <c r="AO127" s="122"/>
      <c r="AP127" s="122">
        <f t="shared" si="137"/>
        <v>0</v>
      </c>
      <c r="AQ127" s="122"/>
      <c r="AR127" s="34">
        <f t="shared" si="138"/>
        <v>590897</v>
      </c>
      <c r="AS127" s="10">
        <f t="shared" si="111"/>
        <v>1</v>
      </c>
      <c r="AT127" s="10"/>
      <c r="AU127" s="10">
        <f t="shared" si="112"/>
        <v>0</v>
      </c>
      <c r="AV127" s="10">
        <v>590897</v>
      </c>
      <c r="AW127" s="10">
        <f t="shared" si="119"/>
        <v>1</v>
      </c>
      <c r="AX127" s="10">
        <f>AR127/0.9*0.1</f>
        <v>65655.222222222234</v>
      </c>
      <c r="AY127" s="10">
        <v>1</v>
      </c>
      <c r="AZ127" s="10"/>
      <c r="BA127" s="10">
        <v>0</v>
      </c>
      <c r="BB127" s="10">
        <v>0</v>
      </c>
      <c r="BC127" s="10">
        <f t="shared" si="100"/>
        <v>0</v>
      </c>
      <c r="BD127" s="10"/>
      <c r="BE127" s="26">
        <f t="shared" si="113"/>
        <v>0</v>
      </c>
      <c r="BF127" s="122">
        <f t="shared" si="113"/>
        <v>0</v>
      </c>
      <c r="BG127" s="122"/>
      <c r="BH127" s="122">
        <f t="shared" si="114"/>
        <v>0</v>
      </c>
      <c r="BI127" s="122"/>
      <c r="BJ127" s="122">
        <f t="shared" si="115"/>
        <v>0</v>
      </c>
      <c r="BK127" s="122"/>
      <c r="BL127" s="122"/>
      <c r="BM127" s="122"/>
      <c r="BN127" s="122" t="s">
        <v>802</v>
      </c>
      <c r="BO127" s="122" t="s">
        <v>1593</v>
      </c>
      <c r="BP127" s="122" t="s">
        <v>803</v>
      </c>
      <c r="BQ127" s="122" t="s">
        <v>804</v>
      </c>
      <c r="BR127" s="122" t="s">
        <v>805</v>
      </c>
      <c r="BS127" s="122" t="s">
        <v>806</v>
      </c>
      <c r="BT127" s="55" t="s">
        <v>807</v>
      </c>
    </row>
    <row r="128" spans="1:72" ht="43.5" hidden="1" customHeight="1" outlineLevel="1" x14ac:dyDescent="0.25">
      <c r="A128" s="124"/>
      <c r="B128" s="59">
        <v>13</v>
      </c>
      <c r="C128" s="122" t="s">
        <v>1469</v>
      </c>
      <c r="D128" s="122" t="s">
        <v>808</v>
      </c>
      <c r="E128" s="122">
        <v>2015</v>
      </c>
      <c r="F128" s="122">
        <v>279242</v>
      </c>
      <c r="G128" s="122">
        <v>248462</v>
      </c>
      <c r="H128" s="122"/>
      <c r="I128" s="122"/>
      <c r="J128" s="122"/>
      <c r="K128" s="122"/>
      <c r="L128" s="122"/>
      <c r="M128" s="122">
        <v>0</v>
      </c>
      <c r="N128" s="122">
        <f t="shared" si="140"/>
        <v>0</v>
      </c>
      <c r="O128" s="122">
        <v>223616</v>
      </c>
      <c r="P128" s="122">
        <v>1</v>
      </c>
      <c r="Q128" s="26">
        <v>223616</v>
      </c>
      <c r="R128" s="122">
        <v>1</v>
      </c>
      <c r="S128" s="122">
        <f t="shared" si="103"/>
        <v>223616</v>
      </c>
      <c r="T128" s="122"/>
      <c r="U128" s="26">
        <f t="shared" si="141"/>
        <v>223616</v>
      </c>
      <c r="V128" s="122">
        <f t="shared" si="141"/>
        <v>1</v>
      </c>
      <c r="W128" s="122"/>
      <c r="X128" s="122">
        <f t="shared" si="142"/>
        <v>0</v>
      </c>
      <c r="Y128" s="122">
        <v>223616</v>
      </c>
      <c r="Z128" s="122">
        <f t="shared" si="143"/>
        <v>1</v>
      </c>
      <c r="AA128" s="122">
        <v>-223616</v>
      </c>
      <c r="AB128" s="122"/>
      <c r="AC128" s="26">
        <f t="shared" si="107"/>
        <v>0</v>
      </c>
      <c r="AD128" s="122">
        <f t="shared" si="107"/>
        <v>0</v>
      </c>
      <c r="AE128" s="122"/>
      <c r="AF128" s="122">
        <f t="shared" si="134"/>
        <v>0</v>
      </c>
      <c r="AG128" s="122"/>
      <c r="AH128" s="122">
        <f t="shared" si="135"/>
        <v>0</v>
      </c>
      <c r="AI128" s="122">
        <f t="shared" si="136"/>
        <v>0</v>
      </c>
      <c r="AJ128" s="122">
        <v>1</v>
      </c>
      <c r="AK128" s="122"/>
      <c r="AL128" s="122">
        <v>0</v>
      </c>
      <c r="AM128" s="122">
        <v>0</v>
      </c>
      <c r="AN128" s="122">
        <f t="shared" si="110"/>
        <v>-223616</v>
      </c>
      <c r="AO128" s="122"/>
      <c r="AP128" s="122">
        <f t="shared" si="137"/>
        <v>223616</v>
      </c>
      <c r="AQ128" s="122"/>
      <c r="AR128" s="34">
        <f t="shared" si="138"/>
        <v>223616</v>
      </c>
      <c r="AS128" s="10">
        <f t="shared" si="111"/>
        <v>1</v>
      </c>
      <c r="AT128" s="10"/>
      <c r="AU128" s="10">
        <f t="shared" si="112"/>
        <v>0</v>
      </c>
      <c r="AV128" s="10">
        <f>223616</f>
        <v>223616</v>
      </c>
      <c r="AW128" s="10">
        <f t="shared" si="119"/>
        <v>1</v>
      </c>
      <c r="AX128" s="10">
        <f>AR128/0.9*0.1</f>
        <v>24846.222222222223</v>
      </c>
      <c r="AY128" s="10"/>
      <c r="AZ128" s="10"/>
      <c r="BA128" s="10">
        <v>0</v>
      </c>
      <c r="BB128" s="10">
        <v>0</v>
      </c>
      <c r="BC128" s="10">
        <f t="shared" si="100"/>
        <v>0</v>
      </c>
      <c r="BD128" s="10"/>
      <c r="BE128" s="26">
        <f t="shared" si="113"/>
        <v>0</v>
      </c>
      <c r="BF128" s="122">
        <f t="shared" si="113"/>
        <v>0</v>
      </c>
      <c r="BG128" s="122"/>
      <c r="BH128" s="122">
        <f t="shared" si="114"/>
        <v>0</v>
      </c>
      <c r="BI128" s="122"/>
      <c r="BJ128" s="122">
        <f t="shared" si="115"/>
        <v>0</v>
      </c>
      <c r="BK128" s="122"/>
      <c r="BL128" s="122"/>
      <c r="BM128" s="122"/>
      <c r="BN128" s="122" t="s">
        <v>809</v>
      </c>
      <c r="BO128" s="122" t="s">
        <v>1594</v>
      </c>
      <c r="BP128" s="122" t="s">
        <v>810</v>
      </c>
      <c r="BQ128" s="122" t="s">
        <v>811</v>
      </c>
      <c r="BR128" s="122" t="s">
        <v>812</v>
      </c>
      <c r="BS128" s="122" t="s">
        <v>814</v>
      </c>
      <c r="BT128" s="55" t="s">
        <v>813</v>
      </c>
    </row>
    <row r="129" spans="1:77" ht="59.25" hidden="1" customHeight="1" outlineLevel="1" x14ac:dyDescent="0.25">
      <c r="A129" s="124"/>
      <c r="B129" s="59">
        <v>14</v>
      </c>
      <c r="C129" s="122" t="s">
        <v>1470</v>
      </c>
      <c r="D129" s="122" t="s">
        <v>822</v>
      </c>
      <c r="E129" s="122">
        <v>2015</v>
      </c>
      <c r="F129" s="122">
        <v>288778</v>
      </c>
      <c r="G129" s="122">
        <v>262451</v>
      </c>
      <c r="H129" s="122"/>
      <c r="I129" s="122"/>
      <c r="J129" s="122"/>
      <c r="K129" s="122">
        <v>1</v>
      </c>
      <c r="L129" s="122">
        <v>1</v>
      </c>
      <c r="M129" s="122">
        <v>0</v>
      </c>
      <c r="N129" s="122">
        <f t="shared" si="140"/>
        <v>0</v>
      </c>
      <c r="O129" s="122">
        <v>236206</v>
      </c>
      <c r="P129" s="122">
        <v>1</v>
      </c>
      <c r="Q129" s="26">
        <v>236206</v>
      </c>
      <c r="R129" s="122">
        <v>1</v>
      </c>
      <c r="S129" s="122">
        <f t="shared" si="103"/>
        <v>236206</v>
      </c>
      <c r="T129" s="122"/>
      <c r="U129" s="26">
        <f t="shared" si="141"/>
        <v>236206</v>
      </c>
      <c r="V129" s="122">
        <f t="shared" si="141"/>
        <v>1</v>
      </c>
      <c r="W129" s="122"/>
      <c r="X129" s="122">
        <f t="shared" si="142"/>
        <v>0</v>
      </c>
      <c r="Y129" s="122">
        <v>236206</v>
      </c>
      <c r="Z129" s="122">
        <f t="shared" si="143"/>
        <v>1</v>
      </c>
      <c r="AA129" s="122">
        <v>-236206</v>
      </c>
      <c r="AB129" s="122"/>
      <c r="AC129" s="26">
        <f t="shared" si="107"/>
        <v>0</v>
      </c>
      <c r="AD129" s="122">
        <f t="shared" si="107"/>
        <v>0</v>
      </c>
      <c r="AE129" s="122"/>
      <c r="AF129" s="122">
        <f t="shared" si="134"/>
        <v>0</v>
      </c>
      <c r="AG129" s="122"/>
      <c r="AH129" s="122">
        <f t="shared" si="135"/>
        <v>0</v>
      </c>
      <c r="AI129" s="122">
        <f t="shared" si="136"/>
        <v>0</v>
      </c>
      <c r="AJ129" s="122">
        <v>1</v>
      </c>
      <c r="AK129" s="122"/>
      <c r="AL129" s="122">
        <v>0</v>
      </c>
      <c r="AM129" s="122">
        <v>0</v>
      </c>
      <c r="AN129" s="122">
        <f t="shared" si="110"/>
        <v>-236206</v>
      </c>
      <c r="AO129" s="122"/>
      <c r="AP129" s="122">
        <f t="shared" si="137"/>
        <v>236206</v>
      </c>
      <c r="AQ129" s="122"/>
      <c r="AR129" s="34">
        <f t="shared" si="138"/>
        <v>236206</v>
      </c>
      <c r="AS129" s="10">
        <f t="shared" si="111"/>
        <v>1</v>
      </c>
      <c r="AT129" s="10"/>
      <c r="AU129" s="10">
        <f t="shared" si="112"/>
        <v>0</v>
      </c>
      <c r="AV129" s="10">
        <f>236206</f>
        <v>236206</v>
      </c>
      <c r="AW129" s="10">
        <f t="shared" si="119"/>
        <v>1</v>
      </c>
      <c r="AX129" s="10">
        <f t="shared" ref="AX129:AX131" si="144">AR129/0.9*0.1</f>
        <v>26245.111111111113</v>
      </c>
      <c r="AY129" s="10"/>
      <c r="AZ129" s="10"/>
      <c r="BA129" s="10">
        <v>0</v>
      </c>
      <c r="BB129" s="10">
        <v>0</v>
      </c>
      <c r="BC129" s="10">
        <f t="shared" si="100"/>
        <v>0</v>
      </c>
      <c r="BD129" s="10"/>
      <c r="BE129" s="26">
        <f t="shared" si="113"/>
        <v>0</v>
      </c>
      <c r="BF129" s="122">
        <f t="shared" si="113"/>
        <v>0</v>
      </c>
      <c r="BG129" s="122"/>
      <c r="BH129" s="122">
        <f t="shared" si="114"/>
        <v>0</v>
      </c>
      <c r="BI129" s="122"/>
      <c r="BJ129" s="122">
        <f t="shared" si="115"/>
        <v>0</v>
      </c>
      <c r="BK129" s="122"/>
      <c r="BL129" s="122"/>
      <c r="BM129" s="122"/>
      <c r="BN129" s="122" t="s">
        <v>823</v>
      </c>
      <c r="BO129" s="122" t="s">
        <v>1595</v>
      </c>
      <c r="BP129" s="122" t="s">
        <v>824</v>
      </c>
      <c r="BQ129" s="122" t="s">
        <v>825</v>
      </c>
      <c r="BR129" s="122" t="s">
        <v>826</v>
      </c>
      <c r="BS129" s="122" t="s">
        <v>827</v>
      </c>
      <c r="BT129" s="55" t="s">
        <v>828</v>
      </c>
    </row>
    <row r="130" spans="1:77" ht="56.25" hidden="1" customHeight="1" outlineLevel="1" x14ac:dyDescent="0.25">
      <c r="A130" s="124"/>
      <c r="B130" s="59">
        <v>15</v>
      </c>
      <c r="C130" s="122" t="s">
        <v>1471</v>
      </c>
      <c r="D130" s="122" t="s">
        <v>815</v>
      </c>
      <c r="E130" s="122">
        <v>2016</v>
      </c>
      <c r="F130" s="122">
        <v>484131</v>
      </c>
      <c r="G130" s="122">
        <v>451619</v>
      </c>
      <c r="H130" s="122"/>
      <c r="I130" s="122"/>
      <c r="J130" s="122"/>
      <c r="K130" s="122"/>
      <c r="L130" s="122"/>
      <c r="M130" s="122">
        <v>0</v>
      </c>
      <c r="N130" s="122">
        <f t="shared" si="140"/>
        <v>0</v>
      </c>
      <c r="O130" s="122">
        <v>406457</v>
      </c>
      <c r="P130" s="122">
        <v>1</v>
      </c>
      <c r="Q130" s="26">
        <v>0</v>
      </c>
      <c r="R130" s="122">
        <v>0</v>
      </c>
      <c r="S130" s="122">
        <f t="shared" si="103"/>
        <v>0</v>
      </c>
      <c r="T130" s="122"/>
      <c r="U130" s="26">
        <f t="shared" si="141"/>
        <v>0</v>
      </c>
      <c r="V130" s="122">
        <f t="shared" si="141"/>
        <v>0</v>
      </c>
      <c r="W130" s="122"/>
      <c r="X130" s="122">
        <f t="shared" si="142"/>
        <v>0</v>
      </c>
      <c r="Y130" s="122"/>
      <c r="Z130" s="122">
        <f t="shared" si="143"/>
        <v>0</v>
      </c>
      <c r="AA130" s="122">
        <v>0</v>
      </c>
      <c r="AB130" s="122"/>
      <c r="AC130" s="26">
        <f t="shared" si="107"/>
        <v>0</v>
      </c>
      <c r="AD130" s="122">
        <f t="shared" si="107"/>
        <v>0</v>
      </c>
      <c r="AE130" s="122"/>
      <c r="AF130" s="122">
        <f t="shared" si="134"/>
        <v>0</v>
      </c>
      <c r="AG130" s="122"/>
      <c r="AH130" s="122">
        <f t="shared" si="135"/>
        <v>0</v>
      </c>
      <c r="AI130" s="122">
        <f t="shared" si="136"/>
        <v>0</v>
      </c>
      <c r="AJ130" s="122"/>
      <c r="AK130" s="122"/>
      <c r="AL130" s="122">
        <v>406457</v>
      </c>
      <c r="AM130" s="122">
        <v>0</v>
      </c>
      <c r="AN130" s="122">
        <f t="shared" si="110"/>
        <v>0</v>
      </c>
      <c r="AO130" s="122"/>
      <c r="AP130" s="122">
        <f t="shared" si="137"/>
        <v>0</v>
      </c>
      <c r="AQ130" s="122"/>
      <c r="AR130" s="34">
        <f t="shared" si="138"/>
        <v>406457</v>
      </c>
      <c r="AS130" s="10">
        <v>1</v>
      </c>
      <c r="AT130" s="10"/>
      <c r="AU130" s="10">
        <f t="shared" si="112"/>
        <v>0</v>
      </c>
      <c r="AV130" s="10">
        <v>406457</v>
      </c>
      <c r="AW130" s="10">
        <v>1</v>
      </c>
      <c r="AX130" s="10">
        <f t="shared" si="144"/>
        <v>45161.888888888891</v>
      </c>
      <c r="AY130" s="10">
        <v>1</v>
      </c>
      <c r="AZ130" s="10"/>
      <c r="BA130" s="10">
        <v>0</v>
      </c>
      <c r="BB130" s="10">
        <v>0</v>
      </c>
      <c r="BC130" s="10">
        <f t="shared" si="100"/>
        <v>0</v>
      </c>
      <c r="BD130" s="10"/>
      <c r="BE130" s="26">
        <f t="shared" si="113"/>
        <v>0</v>
      </c>
      <c r="BF130" s="122">
        <f t="shared" si="113"/>
        <v>0</v>
      </c>
      <c r="BG130" s="122"/>
      <c r="BH130" s="122">
        <f t="shared" si="114"/>
        <v>0</v>
      </c>
      <c r="BI130" s="122"/>
      <c r="BJ130" s="122">
        <f t="shared" si="115"/>
        <v>0</v>
      </c>
      <c r="BK130" s="122"/>
      <c r="BL130" s="122"/>
      <c r="BM130" s="122"/>
      <c r="BN130" s="122" t="s">
        <v>816</v>
      </c>
      <c r="BO130" s="122" t="s">
        <v>1596</v>
      </c>
      <c r="BP130" s="122" t="s">
        <v>817</v>
      </c>
      <c r="BQ130" s="122" t="s">
        <v>818</v>
      </c>
      <c r="BR130" s="122" t="s">
        <v>819</v>
      </c>
      <c r="BS130" s="122" t="s">
        <v>820</v>
      </c>
      <c r="BT130" s="55" t="s">
        <v>821</v>
      </c>
    </row>
    <row r="131" spans="1:77" ht="49.5" hidden="1" customHeight="1" outlineLevel="1" x14ac:dyDescent="0.25">
      <c r="A131" s="124"/>
      <c r="B131" s="59">
        <v>16</v>
      </c>
      <c r="C131" s="122" t="s">
        <v>1429</v>
      </c>
      <c r="D131" s="122" t="s">
        <v>1715</v>
      </c>
      <c r="E131" s="122" t="s">
        <v>10</v>
      </c>
      <c r="F131" s="122">
        <v>655227</v>
      </c>
      <c r="G131" s="122">
        <v>650653</v>
      </c>
      <c r="H131" s="122"/>
      <c r="I131" s="122"/>
      <c r="J131" s="122"/>
      <c r="K131" s="122"/>
      <c r="L131" s="122"/>
      <c r="M131" s="122"/>
      <c r="N131" s="122">
        <f t="shared" si="140"/>
        <v>0</v>
      </c>
      <c r="O131" s="122">
        <v>0</v>
      </c>
      <c r="P131" s="122">
        <v>0</v>
      </c>
      <c r="Q131" s="26">
        <v>0</v>
      </c>
      <c r="R131" s="122">
        <v>0</v>
      </c>
      <c r="S131" s="122">
        <f t="shared" si="103"/>
        <v>0</v>
      </c>
      <c r="T131" s="122"/>
      <c r="U131" s="26">
        <f t="shared" si="141"/>
        <v>130777</v>
      </c>
      <c r="V131" s="122">
        <f t="shared" si="141"/>
        <v>1</v>
      </c>
      <c r="W131" s="122"/>
      <c r="X131" s="122">
        <f t="shared" si="142"/>
        <v>0</v>
      </c>
      <c r="Y131" s="122">
        <f>100000+30777</f>
        <v>130777</v>
      </c>
      <c r="Z131" s="122">
        <f t="shared" si="143"/>
        <v>1</v>
      </c>
      <c r="AA131" s="122">
        <v>-130777</v>
      </c>
      <c r="AB131" s="122"/>
      <c r="AC131" s="26">
        <f t="shared" si="107"/>
        <v>0</v>
      </c>
      <c r="AD131" s="122">
        <f t="shared" si="107"/>
        <v>0</v>
      </c>
      <c r="AE131" s="122"/>
      <c r="AF131" s="122">
        <f t="shared" si="134"/>
        <v>0</v>
      </c>
      <c r="AG131" s="122"/>
      <c r="AH131" s="122">
        <f t="shared" si="135"/>
        <v>0</v>
      </c>
      <c r="AI131" s="122">
        <f t="shared" si="136"/>
        <v>0</v>
      </c>
      <c r="AJ131" s="122"/>
      <c r="AK131" s="122">
        <v>1</v>
      </c>
      <c r="AL131" s="122">
        <v>0</v>
      </c>
      <c r="AM131" s="122">
        <v>0</v>
      </c>
      <c r="AN131" s="122">
        <f t="shared" si="110"/>
        <v>-940397</v>
      </c>
      <c r="AO131" s="122"/>
      <c r="AP131" s="122">
        <f t="shared" si="137"/>
        <v>130777</v>
      </c>
      <c r="AQ131" s="122"/>
      <c r="AR131" s="34">
        <f t="shared" si="138"/>
        <v>940397</v>
      </c>
      <c r="AS131" s="10">
        <f t="shared" si="111"/>
        <v>2</v>
      </c>
      <c r="AT131" s="10">
        <f>454810+30777</f>
        <v>485587</v>
      </c>
      <c r="AU131" s="10">
        <f t="shared" si="112"/>
        <v>1</v>
      </c>
      <c r="AV131" s="10">
        <f>485587-30777</f>
        <v>454810</v>
      </c>
      <c r="AW131" s="10">
        <f t="shared" si="119"/>
        <v>1</v>
      </c>
      <c r="AX131" s="10">
        <f t="shared" si="144"/>
        <v>104488.55555555556</v>
      </c>
      <c r="AY131" s="10"/>
      <c r="AZ131" s="10">
        <v>1</v>
      </c>
      <c r="BA131" s="10">
        <v>306720</v>
      </c>
      <c r="BB131" s="10">
        <v>1</v>
      </c>
      <c r="BC131" s="10">
        <f t="shared" si="100"/>
        <v>306720</v>
      </c>
      <c r="BD131" s="10"/>
      <c r="BE131" s="26">
        <f t="shared" si="113"/>
        <v>0</v>
      </c>
      <c r="BF131" s="122">
        <f t="shared" si="113"/>
        <v>0</v>
      </c>
      <c r="BG131" s="122"/>
      <c r="BH131" s="122">
        <f t="shared" si="114"/>
        <v>0</v>
      </c>
      <c r="BI131" s="122"/>
      <c r="BJ131" s="122"/>
      <c r="BK131" s="122"/>
      <c r="BL131" s="122"/>
      <c r="BM131" s="122"/>
      <c r="BN131" s="122" t="s">
        <v>1803</v>
      </c>
      <c r="BO131" s="31" t="s">
        <v>1804</v>
      </c>
      <c r="BP131" s="31" t="s">
        <v>1805</v>
      </c>
      <c r="BQ131" s="31" t="s">
        <v>1806</v>
      </c>
      <c r="BR131" s="31" t="s">
        <v>1807</v>
      </c>
      <c r="BS131" s="31" t="s">
        <v>1808</v>
      </c>
      <c r="BT131" s="31" t="s">
        <v>1809</v>
      </c>
    </row>
    <row r="132" spans="1:77" ht="11.25" hidden="1" outlineLevel="1" x14ac:dyDescent="0.25">
      <c r="A132" s="124"/>
      <c r="B132" s="125">
        <v>1</v>
      </c>
      <c r="C132" s="122" t="s">
        <v>1257</v>
      </c>
      <c r="D132" s="122"/>
      <c r="E132" s="122"/>
      <c r="F132" s="122">
        <f>F133</f>
        <v>788819.5</v>
      </c>
      <c r="G132" s="122">
        <f t="shared" ref="G132:BM132" si="145">G133</f>
        <v>774352</v>
      </c>
      <c r="H132" s="122"/>
      <c r="I132" s="122"/>
      <c r="J132" s="122"/>
      <c r="K132" s="122"/>
      <c r="L132" s="122"/>
      <c r="M132" s="122">
        <f t="shared" si="145"/>
        <v>0</v>
      </c>
      <c r="N132" s="122">
        <f t="shared" si="145"/>
        <v>0</v>
      </c>
      <c r="O132" s="122">
        <v>348458</v>
      </c>
      <c r="P132" s="122">
        <v>1</v>
      </c>
      <c r="Q132" s="26">
        <v>150000</v>
      </c>
      <c r="R132" s="122">
        <v>1</v>
      </c>
      <c r="S132" s="122">
        <f t="shared" si="103"/>
        <v>150000</v>
      </c>
      <c r="T132" s="122"/>
      <c r="U132" s="26">
        <f t="shared" si="145"/>
        <v>150000</v>
      </c>
      <c r="V132" s="67">
        <f t="shared" si="145"/>
        <v>1</v>
      </c>
      <c r="W132" s="67">
        <f t="shared" si="145"/>
        <v>0</v>
      </c>
      <c r="X132" s="67">
        <f t="shared" si="145"/>
        <v>0</v>
      </c>
      <c r="Y132" s="67">
        <f t="shared" si="145"/>
        <v>150000</v>
      </c>
      <c r="Z132" s="67">
        <f t="shared" si="145"/>
        <v>1</v>
      </c>
      <c r="AA132" s="67">
        <f t="shared" si="145"/>
        <v>-150000</v>
      </c>
      <c r="AB132" s="67">
        <f t="shared" si="145"/>
        <v>0</v>
      </c>
      <c r="AC132" s="26">
        <f t="shared" si="145"/>
        <v>0</v>
      </c>
      <c r="AD132" s="122">
        <f t="shared" si="145"/>
        <v>0</v>
      </c>
      <c r="AE132" s="122">
        <f t="shared" si="145"/>
        <v>0</v>
      </c>
      <c r="AF132" s="122">
        <f t="shared" si="145"/>
        <v>0</v>
      </c>
      <c r="AG132" s="122">
        <f t="shared" si="145"/>
        <v>0</v>
      </c>
      <c r="AH132" s="122">
        <f t="shared" si="145"/>
        <v>0</v>
      </c>
      <c r="AI132" s="122">
        <f t="shared" si="145"/>
        <v>0</v>
      </c>
      <c r="AJ132" s="122">
        <f t="shared" si="145"/>
        <v>0</v>
      </c>
      <c r="AK132" s="122">
        <f t="shared" si="145"/>
        <v>1</v>
      </c>
      <c r="AL132" s="122">
        <f t="shared" si="145"/>
        <v>546917</v>
      </c>
      <c r="AM132" s="122">
        <f t="shared" si="145"/>
        <v>0</v>
      </c>
      <c r="AN132" s="122">
        <f t="shared" si="145"/>
        <v>-150000</v>
      </c>
      <c r="AO132" s="122">
        <f t="shared" si="145"/>
        <v>0</v>
      </c>
      <c r="AP132" s="122">
        <f t="shared" si="145"/>
        <v>150000</v>
      </c>
      <c r="AQ132" s="122"/>
      <c r="AR132" s="26">
        <f t="shared" si="145"/>
        <v>696917</v>
      </c>
      <c r="AS132" s="122">
        <f t="shared" si="145"/>
        <v>1</v>
      </c>
      <c r="AT132" s="122">
        <f t="shared" si="145"/>
        <v>0</v>
      </c>
      <c r="AU132" s="122">
        <f t="shared" si="145"/>
        <v>1</v>
      </c>
      <c r="AV132" s="122">
        <f t="shared" si="145"/>
        <v>696917</v>
      </c>
      <c r="AW132" s="122">
        <f t="shared" si="145"/>
        <v>0</v>
      </c>
      <c r="AX132" s="122">
        <f t="shared" si="145"/>
        <v>77435.222222222234</v>
      </c>
      <c r="AY132" s="122">
        <f t="shared" si="145"/>
        <v>1</v>
      </c>
      <c r="AZ132" s="122">
        <f t="shared" si="145"/>
        <v>0</v>
      </c>
      <c r="BA132" s="122">
        <v>0</v>
      </c>
      <c r="BB132" s="122">
        <v>0</v>
      </c>
      <c r="BC132" s="10">
        <f t="shared" si="100"/>
        <v>0</v>
      </c>
      <c r="BD132" s="122"/>
      <c r="BE132" s="26">
        <f t="shared" si="145"/>
        <v>0</v>
      </c>
      <c r="BF132" s="122">
        <f t="shared" si="145"/>
        <v>0</v>
      </c>
      <c r="BG132" s="122">
        <f t="shared" si="145"/>
        <v>0</v>
      </c>
      <c r="BH132" s="122">
        <f t="shared" si="145"/>
        <v>0</v>
      </c>
      <c r="BI132" s="122">
        <f t="shared" si="145"/>
        <v>0</v>
      </c>
      <c r="BJ132" s="122">
        <f t="shared" si="145"/>
        <v>0</v>
      </c>
      <c r="BK132" s="122">
        <f t="shared" si="145"/>
        <v>0</v>
      </c>
      <c r="BL132" s="122">
        <f t="shared" si="145"/>
        <v>0</v>
      </c>
      <c r="BM132" s="122">
        <f t="shared" si="145"/>
        <v>0</v>
      </c>
      <c r="BN132" s="122"/>
      <c r="BO132" s="122"/>
      <c r="BP132" s="122"/>
      <c r="BQ132" s="122"/>
      <c r="BR132" s="122"/>
      <c r="BS132" s="122"/>
      <c r="BT132" s="55"/>
    </row>
    <row r="133" spans="1:77" ht="55.5" hidden="1" customHeight="1" outlineLevel="1" x14ac:dyDescent="0.25">
      <c r="A133" s="124"/>
      <c r="B133" s="125">
        <v>1</v>
      </c>
      <c r="C133" s="122" t="s">
        <v>1472</v>
      </c>
      <c r="D133" s="122" t="s">
        <v>776</v>
      </c>
      <c r="E133" s="122" t="s">
        <v>10</v>
      </c>
      <c r="F133" s="122">
        <v>788819.5</v>
      </c>
      <c r="G133" s="122">
        <v>774352</v>
      </c>
      <c r="H133" s="122"/>
      <c r="I133" s="122"/>
      <c r="J133" s="122"/>
      <c r="K133" s="122"/>
      <c r="L133" s="122"/>
      <c r="M133" s="122">
        <v>0</v>
      </c>
      <c r="N133" s="122">
        <f>AC133+AI133</f>
        <v>0</v>
      </c>
      <c r="O133" s="122">
        <v>348458</v>
      </c>
      <c r="P133" s="122">
        <v>1</v>
      </c>
      <c r="Q133" s="26">
        <v>150000</v>
      </c>
      <c r="R133" s="122">
        <v>1</v>
      </c>
      <c r="S133" s="122">
        <f t="shared" si="103"/>
        <v>150000</v>
      </c>
      <c r="T133" s="122"/>
      <c r="U133" s="26">
        <f t="shared" ref="U133:V133" si="146">W133+Y133</f>
        <v>150000</v>
      </c>
      <c r="V133" s="122">
        <f t="shared" si="146"/>
        <v>1</v>
      </c>
      <c r="W133" s="122"/>
      <c r="X133" s="122">
        <f t="shared" ref="X133" si="147">IF(W133,1,0)</f>
        <v>0</v>
      </c>
      <c r="Y133" s="122">
        <v>150000</v>
      </c>
      <c r="Z133" s="122">
        <f t="shared" ref="Z133" si="148">IF(Y133,1,0)</f>
        <v>1</v>
      </c>
      <c r="AA133" s="122">
        <v>-150000</v>
      </c>
      <c r="AB133" s="122"/>
      <c r="AC133" s="26">
        <f t="shared" si="107"/>
        <v>0</v>
      </c>
      <c r="AD133" s="122">
        <f t="shared" si="107"/>
        <v>0</v>
      </c>
      <c r="AE133" s="122"/>
      <c r="AF133" s="122">
        <f t="shared" ref="AF133" si="149">IF(AE133,1,0)</f>
        <v>0</v>
      </c>
      <c r="AG133" s="122"/>
      <c r="AH133" s="122">
        <f t="shared" ref="AH133" si="150">IF(AG133,1,0)</f>
        <v>0</v>
      </c>
      <c r="AI133" s="122">
        <f>AC133/0.9*0.1</f>
        <v>0</v>
      </c>
      <c r="AJ133" s="122"/>
      <c r="AK133" s="122">
        <v>1</v>
      </c>
      <c r="AL133" s="122">
        <v>546917</v>
      </c>
      <c r="AM133" s="122">
        <v>0</v>
      </c>
      <c r="AN133" s="122">
        <f t="shared" si="110"/>
        <v>-150000</v>
      </c>
      <c r="AO133" s="122"/>
      <c r="AP133" s="122">
        <f t="shared" si="137"/>
        <v>150000</v>
      </c>
      <c r="AQ133" s="122"/>
      <c r="AR133" s="34">
        <f t="shared" si="111"/>
        <v>696917</v>
      </c>
      <c r="AS133" s="10">
        <v>1</v>
      </c>
      <c r="AT133" s="10"/>
      <c r="AU133" s="10">
        <v>1</v>
      </c>
      <c r="AV133" s="10">
        <f>546917+150000</f>
        <v>696917</v>
      </c>
      <c r="AW133" s="10">
        <v>0</v>
      </c>
      <c r="AX133" s="10">
        <f>AR133/0.9*0.1</f>
        <v>77435.222222222234</v>
      </c>
      <c r="AY133" s="10">
        <v>1</v>
      </c>
      <c r="AZ133" s="10"/>
      <c r="BA133" s="10">
        <v>0</v>
      </c>
      <c r="BB133" s="10">
        <v>0</v>
      </c>
      <c r="BC133" s="10">
        <f t="shared" si="100"/>
        <v>0</v>
      </c>
      <c r="BD133" s="10"/>
      <c r="BE133" s="26">
        <f t="shared" si="113"/>
        <v>0</v>
      </c>
      <c r="BF133" s="122">
        <f t="shared" si="113"/>
        <v>0</v>
      </c>
      <c r="BG133" s="122"/>
      <c r="BH133" s="122">
        <f t="shared" si="114"/>
        <v>0</v>
      </c>
      <c r="BI133" s="122"/>
      <c r="BJ133" s="122">
        <f t="shared" si="115"/>
        <v>0</v>
      </c>
      <c r="BK133" s="122"/>
      <c r="BL133" s="122"/>
      <c r="BM133" s="122"/>
      <c r="BN133" s="122" t="s">
        <v>775</v>
      </c>
      <c r="BO133" s="122" t="s">
        <v>1569</v>
      </c>
      <c r="BP133" s="122" t="s">
        <v>777</v>
      </c>
      <c r="BQ133" s="122" t="s">
        <v>778</v>
      </c>
      <c r="BR133" s="122" t="s">
        <v>779</v>
      </c>
      <c r="BS133" s="122" t="s">
        <v>780</v>
      </c>
      <c r="BT133" s="55" t="s">
        <v>1597</v>
      </c>
    </row>
    <row r="134" spans="1:77" s="35" customFormat="1" ht="11.25" collapsed="1" x14ac:dyDescent="0.25">
      <c r="A134" s="48"/>
      <c r="B134" s="57">
        <v>12</v>
      </c>
      <c r="C134" s="26" t="s">
        <v>536</v>
      </c>
      <c r="D134" s="26"/>
      <c r="E134" s="26"/>
      <c r="F134" s="27">
        <f>F135</f>
        <v>7510503.9199999999</v>
      </c>
      <c r="G134" s="27">
        <f t="shared" ref="G134:BT134" si="151">G135</f>
        <v>7358304</v>
      </c>
      <c r="H134" s="27">
        <f>H135</f>
        <v>6539664</v>
      </c>
      <c r="I134" s="27">
        <f>I135</f>
        <v>42028</v>
      </c>
      <c r="J134" s="27"/>
      <c r="K134" s="27"/>
      <c r="L134" s="27"/>
      <c r="M134" s="27">
        <f t="shared" si="151"/>
        <v>2006474</v>
      </c>
      <c r="N134" s="27">
        <f t="shared" si="151"/>
        <v>1682733.3333333333</v>
      </c>
      <c r="O134" s="27">
        <v>2934690</v>
      </c>
      <c r="P134" s="27">
        <v>12</v>
      </c>
      <c r="Q134" s="27">
        <v>1946840</v>
      </c>
      <c r="R134" s="26">
        <v>9</v>
      </c>
      <c r="S134" s="27">
        <f t="shared" si="151"/>
        <v>432380</v>
      </c>
      <c r="T134" s="27">
        <f t="shared" si="151"/>
        <v>0</v>
      </c>
      <c r="U134" s="27">
        <f t="shared" si="151"/>
        <v>1946840</v>
      </c>
      <c r="V134" s="27">
        <f t="shared" si="151"/>
        <v>9</v>
      </c>
      <c r="W134" s="27">
        <f t="shared" si="151"/>
        <v>1514460</v>
      </c>
      <c r="X134" s="27">
        <f t="shared" si="151"/>
        <v>7</v>
      </c>
      <c r="Y134" s="27">
        <f t="shared" si="151"/>
        <v>432380</v>
      </c>
      <c r="Z134" s="27">
        <f t="shared" si="151"/>
        <v>2</v>
      </c>
      <c r="AA134" s="27">
        <f t="shared" si="151"/>
        <v>-432380</v>
      </c>
      <c r="AB134" s="27">
        <f t="shared" si="151"/>
        <v>0</v>
      </c>
      <c r="AC134" s="27">
        <f t="shared" si="151"/>
        <v>1514460</v>
      </c>
      <c r="AD134" s="26">
        <f t="shared" si="107"/>
        <v>7</v>
      </c>
      <c r="AE134" s="27">
        <f t="shared" si="151"/>
        <v>1514460</v>
      </c>
      <c r="AF134" s="27">
        <f t="shared" si="151"/>
        <v>7</v>
      </c>
      <c r="AG134" s="27">
        <f t="shared" si="151"/>
        <v>0</v>
      </c>
      <c r="AH134" s="27">
        <f t="shared" si="151"/>
        <v>0</v>
      </c>
      <c r="AI134" s="27">
        <f t="shared" si="151"/>
        <v>168273.33333333334</v>
      </c>
      <c r="AJ134" s="69">
        <f t="shared" si="151"/>
        <v>6</v>
      </c>
      <c r="AK134" s="69">
        <f t="shared" si="151"/>
        <v>3</v>
      </c>
      <c r="AL134" s="69">
        <f t="shared" si="151"/>
        <v>2618267</v>
      </c>
      <c r="AM134" s="69">
        <f t="shared" si="151"/>
        <v>3</v>
      </c>
      <c r="AN134" s="69">
        <f t="shared" si="151"/>
        <v>-654406</v>
      </c>
      <c r="AO134" s="69">
        <f t="shared" si="151"/>
        <v>0</v>
      </c>
      <c r="AP134" s="69">
        <f t="shared" si="151"/>
        <v>432380</v>
      </c>
      <c r="AQ134" s="69">
        <f t="shared" si="151"/>
        <v>0</v>
      </c>
      <c r="AR134" s="27">
        <f t="shared" si="151"/>
        <v>3272673</v>
      </c>
      <c r="AS134" s="69">
        <f t="shared" si="151"/>
        <v>6</v>
      </c>
      <c r="AT134" s="27">
        <f t="shared" si="151"/>
        <v>776232</v>
      </c>
      <c r="AU134" s="27">
        <f t="shared" si="151"/>
        <v>1</v>
      </c>
      <c r="AV134" s="27">
        <f t="shared" si="151"/>
        <v>2496441</v>
      </c>
      <c r="AW134" s="27">
        <f t="shared" si="151"/>
        <v>5</v>
      </c>
      <c r="AX134" s="27">
        <f t="shared" si="151"/>
        <v>363630.33333333343</v>
      </c>
      <c r="AY134" s="27">
        <f t="shared" si="151"/>
        <v>6</v>
      </c>
      <c r="AZ134" s="27">
        <f t="shared" si="151"/>
        <v>0</v>
      </c>
      <c r="BA134" s="27">
        <v>0</v>
      </c>
      <c r="BB134" s="27">
        <v>0</v>
      </c>
      <c r="BC134" s="10">
        <f t="shared" si="100"/>
        <v>0</v>
      </c>
      <c r="BD134" s="27"/>
      <c r="BE134" s="27">
        <f t="shared" si="151"/>
        <v>0</v>
      </c>
      <c r="BF134" s="69">
        <f t="shared" si="151"/>
        <v>0</v>
      </c>
      <c r="BG134" s="27">
        <f t="shared" si="151"/>
        <v>0</v>
      </c>
      <c r="BH134" s="27">
        <f t="shared" si="151"/>
        <v>0</v>
      </c>
      <c r="BI134" s="27">
        <f t="shared" si="151"/>
        <v>0</v>
      </c>
      <c r="BJ134" s="27">
        <f t="shared" si="151"/>
        <v>0</v>
      </c>
      <c r="BK134" s="27">
        <f t="shared" si="151"/>
        <v>0</v>
      </c>
      <c r="BL134" s="27">
        <f t="shared" si="151"/>
        <v>0</v>
      </c>
      <c r="BM134" s="27">
        <f t="shared" si="151"/>
        <v>0</v>
      </c>
      <c r="BN134" s="27">
        <f t="shared" si="151"/>
        <v>0</v>
      </c>
      <c r="BO134" s="27">
        <f t="shared" si="151"/>
        <v>0</v>
      </c>
      <c r="BP134" s="27">
        <f t="shared" si="151"/>
        <v>0</v>
      </c>
      <c r="BQ134" s="27">
        <f t="shared" si="151"/>
        <v>0</v>
      </c>
      <c r="BR134" s="27">
        <f t="shared" si="151"/>
        <v>0</v>
      </c>
      <c r="BS134" s="27">
        <f t="shared" si="151"/>
        <v>0</v>
      </c>
      <c r="BT134" s="61">
        <f t="shared" si="151"/>
        <v>0</v>
      </c>
      <c r="BU134" s="25"/>
      <c r="BV134" s="25"/>
      <c r="BW134" s="25"/>
      <c r="BX134" s="25"/>
      <c r="BY134" s="25"/>
    </row>
    <row r="135" spans="1:77" ht="11.25" hidden="1" outlineLevel="1" x14ac:dyDescent="0.25">
      <c r="A135" s="124"/>
      <c r="B135" s="59">
        <v>12</v>
      </c>
      <c r="C135" s="122" t="s">
        <v>198</v>
      </c>
      <c r="D135" s="122"/>
      <c r="E135" s="122"/>
      <c r="F135" s="122">
        <f>SUM(F136:F147)</f>
        <v>7510503.9199999999</v>
      </c>
      <c r="G135" s="122">
        <f>SUM(G136:G147)</f>
        <v>7358304</v>
      </c>
      <c r="H135" s="122">
        <f>H136+H137+H138+H139+H140+H141+H142+H142</f>
        <v>6539664</v>
      </c>
      <c r="I135" s="122">
        <f>I136+I137+I138+I139+I140+I141+I142+I142</f>
        <v>42028</v>
      </c>
      <c r="J135" s="122"/>
      <c r="K135" s="122"/>
      <c r="L135" s="122"/>
      <c r="M135" s="122">
        <f>SUM(M136:M147)</f>
        <v>2006474</v>
      </c>
      <c r="N135" s="122">
        <f>SUM(N136:N147)</f>
        <v>1682733.3333333333</v>
      </c>
      <c r="O135" s="122">
        <v>2934690</v>
      </c>
      <c r="P135" s="122">
        <v>12</v>
      </c>
      <c r="Q135" s="26">
        <v>1946840</v>
      </c>
      <c r="R135" s="122">
        <v>9</v>
      </c>
      <c r="S135" s="26">
        <f t="shared" ref="S135:AZ135" si="152">SUM(S136:S147)</f>
        <v>432380</v>
      </c>
      <c r="T135" s="26">
        <f t="shared" si="152"/>
        <v>0</v>
      </c>
      <c r="U135" s="26">
        <f t="shared" si="152"/>
        <v>1946840</v>
      </c>
      <c r="V135" s="67">
        <f t="shared" si="152"/>
        <v>9</v>
      </c>
      <c r="W135" s="67">
        <f t="shared" si="152"/>
        <v>1514460</v>
      </c>
      <c r="X135" s="67">
        <f t="shared" si="152"/>
        <v>7</v>
      </c>
      <c r="Y135" s="67">
        <f t="shared" si="152"/>
        <v>432380</v>
      </c>
      <c r="Z135" s="67">
        <f t="shared" si="152"/>
        <v>2</v>
      </c>
      <c r="AA135" s="67">
        <f t="shared" si="152"/>
        <v>-432380</v>
      </c>
      <c r="AB135" s="67">
        <f t="shared" si="152"/>
        <v>0</v>
      </c>
      <c r="AC135" s="26">
        <f t="shared" si="152"/>
        <v>1514460</v>
      </c>
      <c r="AD135" s="122">
        <f t="shared" si="152"/>
        <v>7</v>
      </c>
      <c r="AE135" s="122">
        <f t="shared" si="152"/>
        <v>1514460</v>
      </c>
      <c r="AF135" s="122">
        <f t="shared" si="152"/>
        <v>7</v>
      </c>
      <c r="AG135" s="122">
        <f t="shared" si="152"/>
        <v>0</v>
      </c>
      <c r="AH135" s="122">
        <f t="shared" si="152"/>
        <v>0</v>
      </c>
      <c r="AI135" s="122">
        <f t="shared" si="152"/>
        <v>168273.33333333334</v>
      </c>
      <c r="AJ135" s="122">
        <f t="shared" si="152"/>
        <v>6</v>
      </c>
      <c r="AK135" s="122">
        <f t="shared" si="152"/>
        <v>3</v>
      </c>
      <c r="AL135" s="122">
        <f t="shared" si="152"/>
        <v>2618267</v>
      </c>
      <c r="AM135" s="122">
        <f t="shared" si="152"/>
        <v>3</v>
      </c>
      <c r="AN135" s="122">
        <f t="shared" si="152"/>
        <v>-654406</v>
      </c>
      <c r="AO135" s="122">
        <f t="shared" si="152"/>
        <v>0</v>
      </c>
      <c r="AP135" s="122">
        <f t="shared" si="152"/>
        <v>432380</v>
      </c>
      <c r="AQ135" s="122">
        <f t="shared" si="152"/>
        <v>0</v>
      </c>
      <c r="AR135" s="26">
        <f t="shared" si="152"/>
        <v>3272673</v>
      </c>
      <c r="AS135" s="122">
        <f t="shared" si="152"/>
        <v>6</v>
      </c>
      <c r="AT135" s="122">
        <f t="shared" si="152"/>
        <v>776232</v>
      </c>
      <c r="AU135" s="122">
        <f t="shared" si="152"/>
        <v>1</v>
      </c>
      <c r="AV135" s="122">
        <f t="shared" si="152"/>
        <v>2496441</v>
      </c>
      <c r="AW135" s="122">
        <f t="shared" si="152"/>
        <v>5</v>
      </c>
      <c r="AX135" s="122">
        <f t="shared" si="152"/>
        <v>363630.33333333343</v>
      </c>
      <c r="AY135" s="122">
        <f t="shared" si="152"/>
        <v>6</v>
      </c>
      <c r="AZ135" s="122">
        <f t="shared" si="152"/>
        <v>0</v>
      </c>
      <c r="BA135" s="122">
        <v>0</v>
      </c>
      <c r="BB135" s="122">
        <v>0</v>
      </c>
      <c r="BC135" s="10">
        <f t="shared" si="100"/>
        <v>0</v>
      </c>
      <c r="BD135" s="122"/>
      <c r="BE135" s="26">
        <f t="shared" ref="BE135:BT135" si="153">SUM(BE136:BE147)</f>
        <v>0</v>
      </c>
      <c r="BF135" s="122">
        <f t="shared" si="153"/>
        <v>0</v>
      </c>
      <c r="BG135" s="122">
        <f t="shared" si="153"/>
        <v>0</v>
      </c>
      <c r="BH135" s="122">
        <f t="shared" si="153"/>
        <v>0</v>
      </c>
      <c r="BI135" s="122">
        <f t="shared" si="153"/>
        <v>0</v>
      </c>
      <c r="BJ135" s="122">
        <f t="shared" si="153"/>
        <v>0</v>
      </c>
      <c r="BK135" s="122">
        <f t="shared" si="153"/>
        <v>0</v>
      </c>
      <c r="BL135" s="122">
        <f t="shared" si="153"/>
        <v>0</v>
      </c>
      <c r="BM135" s="122">
        <f t="shared" si="153"/>
        <v>0</v>
      </c>
      <c r="BN135" s="122">
        <f t="shared" si="153"/>
        <v>0</v>
      </c>
      <c r="BO135" s="122">
        <f t="shared" si="153"/>
        <v>0</v>
      </c>
      <c r="BP135" s="122">
        <f t="shared" si="153"/>
        <v>0</v>
      </c>
      <c r="BQ135" s="122">
        <f t="shared" si="153"/>
        <v>0</v>
      </c>
      <c r="BR135" s="122">
        <f t="shared" si="153"/>
        <v>0</v>
      </c>
      <c r="BS135" s="122">
        <f t="shared" si="153"/>
        <v>0</v>
      </c>
      <c r="BT135" s="55">
        <f t="shared" si="153"/>
        <v>0</v>
      </c>
    </row>
    <row r="136" spans="1:77" ht="69" hidden="1" customHeight="1" outlineLevel="1" x14ac:dyDescent="0.25">
      <c r="A136" s="124"/>
      <c r="B136" s="59">
        <v>1</v>
      </c>
      <c r="C136" s="122" t="s">
        <v>285</v>
      </c>
      <c r="D136" s="122" t="s">
        <v>286</v>
      </c>
      <c r="E136" s="122" t="s">
        <v>196</v>
      </c>
      <c r="F136" s="122">
        <v>629665</v>
      </c>
      <c r="G136" s="122">
        <v>621338</v>
      </c>
      <c r="H136" s="67">
        <v>614256</v>
      </c>
      <c r="I136" s="122">
        <f t="shared" ref="I136:I142" si="154">G136-H136</f>
        <v>7082</v>
      </c>
      <c r="J136" s="122">
        <v>1</v>
      </c>
      <c r="K136" s="122">
        <v>1</v>
      </c>
      <c r="L136" s="122">
        <v>1</v>
      </c>
      <c r="M136" s="122">
        <v>377778</v>
      </c>
      <c r="N136" s="122">
        <f>AC136+AI136</f>
        <v>236477.77777777778</v>
      </c>
      <c r="O136" s="122">
        <v>219204</v>
      </c>
      <c r="P136" s="122">
        <v>1</v>
      </c>
      <c r="Q136" s="26">
        <v>219204</v>
      </c>
      <c r="R136" s="122">
        <v>1</v>
      </c>
      <c r="S136" s="122">
        <f t="shared" si="103"/>
        <v>6374</v>
      </c>
      <c r="T136" s="122"/>
      <c r="U136" s="26">
        <f t="shared" ref="U136:V147" si="155">W136+Y136</f>
        <v>212830</v>
      </c>
      <c r="V136" s="122">
        <f t="shared" si="155"/>
        <v>1</v>
      </c>
      <c r="W136" s="122">
        <v>212830</v>
      </c>
      <c r="X136" s="122">
        <f t="shared" ref="X136:X147" si="156">IF(W136,1,0)</f>
        <v>1</v>
      </c>
      <c r="Y136" s="122"/>
      <c r="Z136" s="122">
        <f t="shared" ref="Z136:Z147" si="157">IF(Y136,1,0)</f>
        <v>0</v>
      </c>
      <c r="AA136" s="122">
        <v>0</v>
      </c>
      <c r="AB136" s="122"/>
      <c r="AC136" s="26">
        <f t="shared" si="107"/>
        <v>212830</v>
      </c>
      <c r="AD136" s="122">
        <f t="shared" si="107"/>
        <v>1</v>
      </c>
      <c r="AE136" s="122">
        <v>212830</v>
      </c>
      <c r="AF136" s="122">
        <f t="shared" ref="AF136:AF147" si="158">IF(AE136,1,0)</f>
        <v>1</v>
      </c>
      <c r="AG136" s="122"/>
      <c r="AH136" s="122">
        <f t="shared" ref="AH136:AH147" si="159">IF(AG136,1,0)</f>
        <v>0</v>
      </c>
      <c r="AI136" s="122">
        <f>AC136/0.9*0.1</f>
        <v>23647.777777777781</v>
      </c>
      <c r="AJ136" s="122">
        <v>1</v>
      </c>
      <c r="AK136" s="122"/>
      <c r="AL136" s="122">
        <v>0</v>
      </c>
      <c r="AM136" s="122">
        <v>0</v>
      </c>
      <c r="AN136" s="122">
        <f t="shared" si="110"/>
        <v>0</v>
      </c>
      <c r="AO136" s="122"/>
      <c r="AP136" s="122">
        <f>U136-AC136</f>
        <v>0</v>
      </c>
      <c r="AQ136" s="122"/>
      <c r="AR136" s="34">
        <f t="shared" si="111"/>
        <v>0</v>
      </c>
      <c r="AS136" s="10">
        <v>0</v>
      </c>
      <c r="AT136" s="10">
        <v>0</v>
      </c>
      <c r="AU136" s="10">
        <v>0</v>
      </c>
      <c r="AV136" s="10">
        <v>0</v>
      </c>
      <c r="AW136" s="10">
        <v>0</v>
      </c>
      <c r="AX136" s="10">
        <v>0</v>
      </c>
      <c r="AY136" s="10"/>
      <c r="AZ136" s="10"/>
      <c r="BA136" s="10">
        <v>0</v>
      </c>
      <c r="BB136" s="10">
        <v>0</v>
      </c>
      <c r="BC136" s="10">
        <f t="shared" si="100"/>
        <v>0</v>
      </c>
      <c r="BD136" s="10"/>
      <c r="BE136" s="26">
        <f t="shared" si="113"/>
        <v>0</v>
      </c>
      <c r="BF136" s="122">
        <f t="shared" si="113"/>
        <v>0</v>
      </c>
      <c r="BG136" s="122"/>
      <c r="BH136" s="122">
        <f t="shared" si="114"/>
        <v>0</v>
      </c>
      <c r="BI136" s="122"/>
      <c r="BJ136" s="122">
        <f t="shared" si="115"/>
        <v>0</v>
      </c>
      <c r="BK136" s="122"/>
      <c r="BL136" s="122"/>
      <c r="BM136" s="122"/>
      <c r="BN136" s="122" t="s">
        <v>1416</v>
      </c>
      <c r="BO136" s="122" t="s">
        <v>1598</v>
      </c>
      <c r="BP136" s="122" t="s">
        <v>1514</v>
      </c>
      <c r="BQ136" s="122" t="s">
        <v>1515</v>
      </c>
      <c r="BR136" s="122" t="s">
        <v>1516</v>
      </c>
      <c r="BS136" s="122" t="s">
        <v>1517</v>
      </c>
      <c r="BT136" s="55" t="s">
        <v>1518</v>
      </c>
    </row>
    <row r="137" spans="1:77" ht="73.5" hidden="1" customHeight="1" outlineLevel="1" x14ac:dyDescent="0.25">
      <c r="A137" s="124"/>
      <c r="B137" s="59">
        <v>2</v>
      </c>
      <c r="C137" s="122" t="s">
        <v>1425</v>
      </c>
      <c r="D137" s="122" t="s">
        <v>287</v>
      </c>
      <c r="E137" s="122" t="s">
        <v>196</v>
      </c>
      <c r="F137" s="122">
        <v>358442</v>
      </c>
      <c r="G137" s="122">
        <v>350901</v>
      </c>
      <c r="H137" s="122">
        <v>345356</v>
      </c>
      <c r="I137" s="122">
        <f t="shared" si="154"/>
        <v>5545</v>
      </c>
      <c r="J137" s="122">
        <v>1</v>
      </c>
      <c r="K137" s="122">
        <v>1</v>
      </c>
      <c r="L137" s="122">
        <v>1</v>
      </c>
      <c r="M137" s="122">
        <v>255555</v>
      </c>
      <c r="N137" s="122">
        <f t="shared" ref="N137:N147" si="160">AC137+AI137</f>
        <v>89801.111111111109</v>
      </c>
      <c r="O137" s="122">
        <v>85811</v>
      </c>
      <c r="P137" s="122">
        <v>1</v>
      </c>
      <c r="Q137" s="26">
        <v>85811</v>
      </c>
      <c r="R137" s="122">
        <v>1</v>
      </c>
      <c r="S137" s="122">
        <f t="shared" si="103"/>
        <v>4990</v>
      </c>
      <c r="T137" s="122"/>
      <c r="U137" s="26">
        <f t="shared" si="155"/>
        <v>80821</v>
      </c>
      <c r="V137" s="122">
        <f t="shared" si="155"/>
        <v>1</v>
      </c>
      <c r="W137" s="122">
        <v>80821</v>
      </c>
      <c r="X137" s="122">
        <f t="shared" si="156"/>
        <v>1</v>
      </c>
      <c r="Y137" s="122"/>
      <c r="Z137" s="122">
        <f t="shared" si="157"/>
        <v>0</v>
      </c>
      <c r="AA137" s="122">
        <v>0</v>
      </c>
      <c r="AB137" s="122"/>
      <c r="AC137" s="26">
        <f t="shared" si="107"/>
        <v>80821</v>
      </c>
      <c r="AD137" s="122">
        <f t="shared" si="107"/>
        <v>1</v>
      </c>
      <c r="AE137" s="122">
        <v>80821</v>
      </c>
      <c r="AF137" s="122">
        <f t="shared" si="158"/>
        <v>1</v>
      </c>
      <c r="AG137" s="122"/>
      <c r="AH137" s="122">
        <f t="shared" si="159"/>
        <v>0</v>
      </c>
      <c r="AI137" s="122">
        <f t="shared" ref="AI137:AI147" si="161">AC137/0.9*0.1</f>
        <v>8980.1111111111113</v>
      </c>
      <c r="AJ137" s="122">
        <v>1</v>
      </c>
      <c r="AK137" s="122"/>
      <c r="AL137" s="122">
        <v>0</v>
      </c>
      <c r="AM137" s="122">
        <v>0</v>
      </c>
      <c r="AN137" s="122">
        <f t="shared" si="110"/>
        <v>0</v>
      </c>
      <c r="AO137" s="122"/>
      <c r="AP137" s="122">
        <f t="shared" ref="AP137:AP147" si="162">U137-AC137</f>
        <v>0</v>
      </c>
      <c r="AQ137" s="122"/>
      <c r="AR137" s="34">
        <f t="shared" si="111"/>
        <v>0</v>
      </c>
      <c r="AS137" s="10">
        <f t="shared" si="111"/>
        <v>0</v>
      </c>
      <c r="AT137" s="10"/>
      <c r="AU137" s="10">
        <f t="shared" si="112"/>
        <v>0</v>
      </c>
      <c r="AV137" s="10"/>
      <c r="AW137" s="10">
        <f t="shared" si="119"/>
        <v>0</v>
      </c>
      <c r="AX137" s="10"/>
      <c r="AY137" s="10"/>
      <c r="AZ137" s="10"/>
      <c r="BA137" s="10">
        <v>0</v>
      </c>
      <c r="BB137" s="10">
        <v>0</v>
      </c>
      <c r="BC137" s="10">
        <f t="shared" si="100"/>
        <v>0</v>
      </c>
      <c r="BD137" s="10"/>
      <c r="BE137" s="26">
        <f t="shared" si="113"/>
        <v>0</v>
      </c>
      <c r="BF137" s="122">
        <f t="shared" si="113"/>
        <v>0</v>
      </c>
      <c r="BG137" s="122"/>
      <c r="BH137" s="122">
        <f t="shared" si="114"/>
        <v>0</v>
      </c>
      <c r="BI137" s="122"/>
      <c r="BJ137" s="122">
        <f t="shared" si="115"/>
        <v>0</v>
      </c>
      <c r="BK137" s="122"/>
      <c r="BL137" s="122"/>
      <c r="BM137" s="122"/>
      <c r="BN137" s="122" t="s">
        <v>1417</v>
      </c>
      <c r="BO137" s="122" t="s">
        <v>1598</v>
      </c>
      <c r="BP137" s="122" t="s">
        <v>1519</v>
      </c>
      <c r="BQ137" s="122" t="s">
        <v>1520</v>
      </c>
      <c r="BR137" s="122" t="s">
        <v>1521</v>
      </c>
      <c r="BS137" s="122" t="s">
        <v>1522</v>
      </c>
      <c r="BT137" s="55" t="s">
        <v>1523</v>
      </c>
    </row>
    <row r="138" spans="1:77" ht="46.5" hidden="1" customHeight="1" outlineLevel="1" x14ac:dyDescent="0.25">
      <c r="A138" s="124"/>
      <c r="B138" s="59">
        <v>3</v>
      </c>
      <c r="C138" s="122" t="s">
        <v>288</v>
      </c>
      <c r="D138" s="122" t="s">
        <v>1426</v>
      </c>
      <c r="E138" s="122" t="s">
        <v>196</v>
      </c>
      <c r="F138" s="122">
        <v>498794</v>
      </c>
      <c r="G138" s="122">
        <v>488778</v>
      </c>
      <c r="H138" s="122">
        <v>482090</v>
      </c>
      <c r="I138" s="122">
        <f t="shared" si="154"/>
        <v>6688</v>
      </c>
      <c r="J138" s="122">
        <v>1</v>
      </c>
      <c r="K138" s="122">
        <v>1</v>
      </c>
      <c r="L138" s="122"/>
      <c r="M138" s="122">
        <v>355556</v>
      </c>
      <c r="N138" s="122">
        <f t="shared" si="160"/>
        <v>126534.44444444444</v>
      </c>
      <c r="O138" s="122">
        <v>119890</v>
      </c>
      <c r="P138" s="122">
        <v>1</v>
      </c>
      <c r="Q138" s="26">
        <v>119890</v>
      </c>
      <c r="R138" s="122">
        <v>1</v>
      </c>
      <c r="S138" s="122">
        <f t="shared" si="103"/>
        <v>6009</v>
      </c>
      <c r="T138" s="122"/>
      <c r="U138" s="26">
        <f t="shared" si="155"/>
        <v>113881</v>
      </c>
      <c r="V138" s="122">
        <f t="shared" si="155"/>
        <v>1</v>
      </c>
      <c r="W138" s="122">
        <v>113881</v>
      </c>
      <c r="X138" s="122">
        <f t="shared" si="156"/>
        <v>1</v>
      </c>
      <c r="Y138" s="122"/>
      <c r="Z138" s="122">
        <f t="shared" si="157"/>
        <v>0</v>
      </c>
      <c r="AA138" s="122">
        <v>0</v>
      </c>
      <c r="AB138" s="122"/>
      <c r="AC138" s="26">
        <f t="shared" si="107"/>
        <v>113881</v>
      </c>
      <c r="AD138" s="122">
        <f t="shared" si="107"/>
        <v>1</v>
      </c>
      <c r="AE138" s="122">
        <v>113881</v>
      </c>
      <c r="AF138" s="122">
        <f t="shared" si="158"/>
        <v>1</v>
      </c>
      <c r="AG138" s="122"/>
      <c r="AH138" s="122">
        <f t="shared" si="159"/>
        <v>0</v>
      </c>
      <c r="AI138" s="122">
        <f t="shared" si="161"/>
        <v>12653.444444444445</v>
      </c>
      <c r="AJ138" s="122">
        <v>1</v>
      </c>
      <c r="AK138" s="122"/>
      <c r="AL138" s="122">
        <v>0</v>
      </c>
      <c r="AM138" s="122">
        <v>0</v>
      </c>
      <c r="AN138" s="122">
        <f t="shared" si="110"/>
        <v>0</v>
      </c>
      <c r="AO138" s="122"/>
      <c r="AP138" s="122">
        <f t="shared" si="162"/>
        <v>0</v>
      </c>
      <c r="AQ138" s="122"/>
      <c r="AR138" s="34">
        <f t="shared" si="111"/>
        <v>0</v>
      </c>
      <c r="AS138" s="10">
        <f t="shared" si="111"/>
        <v>0</v>
      </c>
      <c r="AT138" s="10"/>
      <c r="AU138" s="10">
        <f t="shared" si="112"/>
        <v>0</v>
      </c>
      <c r="AV138" s="10"/>
      <c r="AW138" s="10">
        <f t="shared" si="119"/>
        <v>0</v>
      </c>
      <c r="AX138" s="10"/>
      <c r="AY138" s="10"/>
      <c r="AZ138" s="10"/>
      <c r="BA138" s="10">
        <v>0</v>
      </c>
      <c r="BB138" s="10">
        <v>0</v>
      </c>
      <c r="BC138" s="10">
        <f t="shared" si="100"/>
        <v>0</v>
      </c>
      <c r="BD138" s="10"/>
      <c r="BE138" s="26">
        <f t="shared" si="113"/>
        <v>0</v>
      </c>
      <c r="BF138" s="122">
        <f t="shared" si="113"/>
        <v>0</v>
      </c>
      <c r="BG138" s="122"/>
      <c r="BH138" s="122">
        <f t="shared" si="114"/>
        <v>0</v>
      </c>
      <c r="BI138" s="122"/>
      <c r="BJ138" s="122">
        <f t="shared" si="115"/>
        <v>0</v>
      </c>
      <c r="BK138" s="122"/>
      <c r="BL138" s="122"/>
      <c r="BM138" s="122"/>
      <c r="BN138" s="122" t="s">
        <v>1418</v>
      </c>
      <c r="BO138" s="122"/>
      <c r="BP138" s="122" t="s">
        <v>1524</v>
      </c>
      <c r="BQ138" s="122" t="s">
        <v>1525</v>
      </c>
      <c r="BR138" s="122" t="s">
        <v>1526</v>
      </c>
      <c r="BS138" s="122" t="s">
        <v>11</v>
      </c>
      <c r="BT138" s="55"/>
    </row>
    <row r="139" spans="1:77" ht="41.25" hidden="1" customHeight="1" outlineLevel="1" x14ac:dyDescent="0.25">
      <c r="A139" s="124"/>
      <c r="B139" s="59">
        <v>4</v>
      </c>
      <c r="C139" s="122" t="s">
        <v>290</v>
      </c>
      <c r="D139" s="122" t="s">
        <v>289</v>
      </c>
      <c r="E139" s="122" t="s">
        <v>196</v>
      </c>
      <c r="F139" s="122">
        <v>521717</v>
      </c>
      <c r="G139" s="122">
        <v>517254</v>
      </c>
      <c r="H139" s="122">
        <v>516026</v>
      </c>
      <c r="I139" s="122">
        <f t="shared" si="154"/>
        <v>1228</v>
      </c>
      <c r="J139" s="122">
        <v>1</v>
      </c>
      <c r="K139" s="122">
        <v>1</v>
      </c>
      <c r="L139" s="122"/>
      <c r="M139" s="122">
        <v>339846</v>
      </c>
      <c r="N139" s="122">
        <f t="shared" si="160"/>
        <v>176180</v>
      </c>
      <c r="O139" s="122">
        <v>159667</v>
      </c>
      <c r="P139" s="122">
        <v>1</v>
      </c>
      <c r="Q139" s="26">
        <v>159667</v>
      </c>
      <c r="R139" s="122">
        <v>1</v>
      </c>
      <c r="S139" s="122">
        <f t="shared" si="103"/>
        <v>1105</v>
      </c>
      <c r="T139" s="122"/>
      <c r="U139" s="26">
        <f t="shared" si="155"/>
        <v>158562</v>
      </c>
      <c r="V139" s="122">
        <f t="shared" si="155"/>
        <v>1</v>
      </c>
      <c r="W139" s="122">
        <v>158562</v>
      </c>
      <c r="X139" s="122">
        <f t="shared" si="156"/>
        <v>1</v>
      </c>
      <c r="Y139" s="122"/>
      <c r="Z139" s="122">
        <f t="shared" si="157"/>
        <v>0</v>
      </c>
      <c r="AA139" s="122">
        <v>0</v>
      </c>
      <c r="AB139" s="122"/>
      <c r="AC139" s="26">
        <f t="shared" si="107"/>
        <v>158562</v>
      </c>
      <c r="AD139" s="122">
        <f t="shared" si="107"/>
        <v>1</v>
      </c>
      <c r="AE139" s="122">
        <v>158562</v>
      </c>
      <c r="AF139" s="122">
        <f t="shared" si="158"/>
        <v>1</v>
      </c>
      <c r="AG139" s="122"/>
      <c r="AH139" s="122">
        <f t="shared" si="159"/>
        <v>0</v>
      </c>
      <c r="AI139" s="122">
        <f t="shared" si="161"/>
        <v>17618</v>
      </c>
      <c r="AJ139" s="122">
        <v>1</v>
      </c>
      <c r="AK139" s="122"/>
      <c r="AL139" s="122">
        <v>0</v>
      </c>
      <c r="AM139" s="122">
        <v>0</v>
      </c>
      <c r="AN139" s="122">
        <f t="shared" si="110"/>
        <v>0</v>
      </c>
      <c r="AO139" s="122"/>
      <c r="AP139" s="122">
        <f t="shared" si="162"/>
        <v>0</v>
      </c>
      <c r="AQ139" s="122"/>
      <c r="AR139" s="34">
        <f t="shared" si="111"/>
        <v>0</v>
      </c>
      <c r="AS139" s="10">
        <f t="shared" si="111"/>
        <v>0</v>
      </c>
      <c r="AT139" s="10"/>
      <c r="AU139" s="10">
        <f t="shared" si="112"/>
        <v>0</v>
      </c>
      <c r="AV139" s="10"/>
      <c r="AW139" s="10">
        <f t="shared" si="119"/>
        <v>0</v>
      </c>
      <c r="AX139" s="10"/>
      <c r="AY139" s="10"/>
      <c r="AZ139" s="10"/>
      <c r="BA139" s="10">
        <v>0</v>
      </c>
      <c r="BB139" s="10">
        <v>0</v>
      </c>
      <c r="BC139" s="10">
        <f t="shared" si="100"/>
        <v>0</v>
      </c>
      <c r="BD139" s="10"/>
      <c r="BE139" s="26">
        <f t="shared" si="113"/>
        <v>0</v>
      </c>
      <c r="BF139" s="122">
        <f t="shared" si="113"/>
        <v>0</v>
      </c>
      <c r="BG139" s="122"/>
      <c r="BH139" s="122">
        <f t="shared" si="114"/>
        <v>0</v>
      </c>
      <c r="BI139" s="122"/>
      <c r="BJ139" s="122">
        <f t="shared" si="115"/>
        <v>0</v>
      </c>
      <c r="BK139" s="122"/>
      <c r="BL139" s="122"/>
      <c r="BM139" s="122"/>
      <c r="BN139" s="122" t="s">
        <v>1419</v>
      </c>
      <c r="BO139" s="122"/>
      <c r="BP139" s="122" t="s">
        <v>1527</v>
      </c>
      <c r="BQ139" s="122" t="s">
        <v>1528</v>
      </c>
      <c r="BR139" s="122" t="s">
        <v>1529</v>
      </c>
      <c r="BS139" s="122" t="s">
        <v>11</v>
      </c>
      <c r="BT139" s="55"/>
    </row>
    <row r="140" spans="1:77" ht="59.25" hidden="1" customHeight="1" outlineLevel="1" x14ac:dyDescent="0.25">
      <c r="A140" s="124"/>
      <c r="B140" s="59">
        <v>5</v>
      </c>
      <c r="C140" s="122" t="s">
        <v>291</v>
      </c>
      <c r="D140" s="122" t="s">
        <v>1427</v>
      </c>
      <c r="E140" s="122" t="s">
        <v>196</v>
      </c>
      <c r="F140" s="122">
        <v>381211</v>
      </c>
      <c r="G140" s="122">
        <v>375313</v>
      </c>
      <c r="H140" s="67">
        <v>373116</v>
      </c>
      <c r="I140" s="122">
        <f t="shared" si="154"/>
        <v>2197</v>
      </c>
      <c r="J140" s="122">
        <v>1</v>
      </c>
      <c r="K140" s="122">
        <v>1</v>
      </c>
      <c r="L140" s="122">
        <v>1</v>
      </c>
      <c r="M140" s="122">
        <v>266667</v>
      </c>
      <c r="N140" s="122">
        <f t="shared" si="160"/>
        <v>106448.88888888889</v>
      </c>
      <c r="O140" s="122">
        <v>97781</v>
      </c>
      <c r="P140" s="122">
        <v>1</v>
      </c>
      <c r="Q140" s="26">
        <v>97781</v>
      </c>
      <c r="R140" s="122">
        <v>1</v>
      </c>
      <c r="S140" s="122">
        <f t="shared" si="103"/>
        <v>1977</v>
      </c>
      <c r="T140" s="122"/>
      <c r="U140" s="26">
        <f t="shared" si="155"/>
        <v>95804</v>
      </c>
      <c r="V140" s="122">
        <f t="shared" si="155"/>
        <v>1</v>
      </c>
      <c r="W140" s="122">
        <v>95804</v>
      </c>
      <c r="X140" s="122">
        <f t="shared" si="156"/>
        <v>1</v>
      </c>
      <c r="Y140" s="122"/>
      <c r="Z140" s="122">
        <f t="shared" si="157"/>
        <v>0</v>
      </c>
      <c r="AA140" s="122">
        <v>0</v>
      </c>
      <c r="AB140" s="122"/>
      <c r="AC140" s="26">
        <f t="shared" si="107"/>
        <v>95804</v>
      </c>
      <c r="AD140" s="122">
        <f t="shared" si="107"/>
        <v>1</v>
      </c>
      <c r="AE140" s="122">
        <v>95804</v>
      </c>
      <c r="AF140" s="122">
        <f t="shared" si="158"/>
        <v>1</v>
      </c>
      <c r="AG140" s="122"/>
      <c r="AH140" s="122">
        <f t="shared" si="159"/>
        <v>0</v>
      </c>
      <c r="AI140" s="122">
        <f t="shared" si="161"/>
        <v>10644.888888888891</v>
      </c>
      <c r="AJ140" s="122">
        <v>1</v>
      </c>
      <c r="AK140" s="122"/>
      <c r="AL140" s="122">
        <v>0</v>
      </c>
      <c r="AM140" s="122">
        <v>0</v>
      </c>
      <c r="AN140" s="122">
        <f t="shared" si="110"/>
        <v>0</v>
      </c>
      <c r="AO140" s="122"/>
      <c r="AP140" s="122">
        <f t="shared" si="162"/>
        <v>0</v>
      </c>
      <c r="AQ140" s="122"/>
      <c r="AR140" s="34">
        <f t="shared" si="111"/>
        <v>0</v>
      </c>
      <c r="AS140" s="10">
        <f t="shared" si="111"/>
        <v>0</v>
      </c>
      <c r="AT140" s="10"/>
      <c r="AU140" s="10">
        <f t="shared" si="112"/>
        <v>0</v>
      </c>
      <c r="AV140" s="10"/>
      <c r="AW140" s="10">
        <f t="shared" si="119"/>
        <v>0</v>
      </c>
      <c r="AX140" s="10"/>
      <c r="AY140" s="10"/>
      <c r="AZ140" s="10"/>
      <c r="BA140" s="10">
        <v>0</v>
      </c>
      <c r="BB140" s="10">
        <v>0</v>
      </c>
      <c r="BC140" s="10">
        <f t="shared" si="100"/>
        <v>0</v>
      </c>
      <c r="BD140" s="10"/>
      <c r="BE140" s="26">
        <f t="shared" si="113"/>
        <v>0</v>
      </c>
      <c r="BF140" s="122">
        <f t="shared" si="113"/>
        <v>0</v>
      </c>
      <c r="BG140" s="122"/>
      <c r="BH140" s="122">
        <f t="shared" si="114"/>
        <v>0</v>
      </c>
      <c r="BI140" s="122"/>
      <c r="BJ140" s="122">
        <f t="shared" si="115"/>
        <v>0</v>
      </c>
      <c r="BK140" s="122"/>
      <c r="BL140" s="122"/>
      <c r="BM140" s="122"/>
      <c r="BN140" s="122" t="s">
        <v>1420</v>
      </c>
      <c r="BO140" s="122" t="s">
        <v>1421</v>
      </c>
      <c r="BP140" s="122" t="s">
        <v>1530</v>
      </c>
      <c r="BQ140" s="122" t="s">
        <v>1531</v>
      </c>
      <c r="BR140" s="122" t="s">
        <v>1532</v>
      </c>
      <c r="BS140" s="122" t="s">
        <v>11</v>
      </c>
      <c r="BT140" s="55"/>
    </row>
    <row r="141" spans="1:77" ht="59.25" hidden="1" customHeight="1" outlineLevel="1" x14ac:dyDescent="0.25">
      <c r="A141" s="124"/>
      <c r="B141" s="59">
        <v>6</v>
      </c>
      <c r="C141" s="122" t="s">
        <v>1428</v>
      </c>
      <c r="D141" s="122" t="s">
        <v>292</v>
      </c>
      <c r="E141" s="122" t="s">
        <v>9</v>
      </c>
      <c r="F141" s="122">
        <v>242234</v>
      </c>
      <c r="G141" s="122">
        <v>233686</v>
      </c>
      <c r="H141" s="122">
        <v>232868</v>
      </c>
      <c r="I141" s="122">
        <f t="shared" si="154"/>
        <v>818</v>
      </c>
      <c r="J141" s="122">
        <v>1</v>
      </c>
      <c r="K141" s="122">
        <v>1</v>
      </c>
      <c r="L141" s="122">
        <v>1</v>
      </c>
      <c r="M141" s="122">
        <v>140812</v>
      </c>
      <c r="N141" s="122">
        <f t="shared" si="160"/>
        <v>92055.555555555562</v>
      </c>
      <c r="O141" s="122">
        <v>52373</v>
      </c>
      <c r="P141" s="122">
        <v>1</v>
      </c>
      <c r="Q141" s="26">
        <v>83586</v>
      </c>
      <c r="R141" s="122">
        <v>1</v>
      </c>
      <c r="S141" s="122">
        <f t="shared" si="103"/>
        <v>736</v>
      </c>
      <c r="T141" s="122"/>
      <c r="U141" s="26">
        <f t="shared" si="155"/>
        <v>82850</v>
      </c>
      <c r="V141" s="122">
        <f t="shared" si="155"/>
        <v>1</v>
      </c>
      <c r="W141" s="122">
        <v>82850</v>
      </c>
      <c r="X141" s="122">
        <f t="shared" si="156"/>
        <v>1</v>
      </c>
      <c r="Y141" s="122"/>
      <c r="Z141" s="122">
        <f t="shared" si="157"/>
        <v>0</v>
      </c>
      <c r="AA141" s="122">
        <v>0</v>
      </c>
      <c r="AB141" s="122"/>
      <c r="AC141" s="26">
        <f t="shared" si="107"/>
        <v>82850</v>
      </c>
      <c r="AD141" s="122">
        <f t="shared" si="107"/>
        <v>1</v>
      </c>
      <c r="AE141" s="122">
        <v>82850</v>
      </c>
      <c r="AF141" s="122">
        <f t="shared" si="158"/>
        <v>1</v>
      </c>
      <c r="AG141" s="122"/>
      <c r="AH141" s="122">
        <f t="shared" si="159"/>
        <v>0</v>
      </c>
      <c r="AI141" s="122">
        <f t="shared" si="161"/>
        <v>9205.5555555555547</v>
      </c>
      <c r="AJ141" s="122">
        <v>1</v>
      </c>
      <c r="AK141" s="122"/>
      <c r="AL141" s="122">
        <v>0</v>
      </c>
      <c r="AM141" s="122">
        <v>0</v>
      </c>
      <c r="AN141" s="122">
        <f t="shared" si="110"/>
        <v>0</v>
      </c>
      <c r="AO141" s="122"/>
      <c r="AP141" s="122">
        <f t="shared" si="162"/>
        <v>0</v>
      </c>
      <c r="AQ141" s="122"/>
      <c r="AR141" s="34">
        <f t="shared" si="111"/>
        <v>0</v>
      </c>
      <c r="AS141" s="10">
        <f t="shared" si="111"/>
        <v>0</v>
      </c>
      <c r="AT141" s="10"/>
      <c r="AU141" s="10">
        <f t="shared" si="112"/>
        <v>0</v>
      </c>
      <c r="AV141" s="10"/>
      <c r="AW141" s="10">
        <f t="shared" si="119"/>
        <v>0</v>
      </c>
      <c r="AX141" s="10"/>
      <c r="AY141" s="10"/>
      <c r="AZ141" s="10"/>
      <c r="BA141" s="10">
        <v>0</v>
      </c>
      <c r="BB141" s="10">
        <v>0</v>
      </c>
      <c r="BC141" s="10">
        <f t="shared" si="100"/>
        <v>0</v>
      </c>
      <c r="BD141" s="10"/>
      <c r="BE141" s="26">
        <f t="shared" si="113"/>
        <v>0</v>
      </c>
      <c r="BF141" s="122">
        <f t="shared" si="113"/>
        <v>0</v>
      </c>
      <c r="BG141" s="122"/>
      <c r="BH141" s="122">
        <f t="shared" si="114"/>
        <v>0</v>
      </c>
      <c r="BI141" s="122"/>
      <c r="BJ141" s="122">
        <f t="shared" si="115"/>
        <v>0</v>
      </c>
      <c r="BK141" s="122"/>
      <c r="BL141" s="122"/>
      <c r="BM141" s="122"/>
      <c r="BN141" s="122" t="s">
        <v>1422</v>
      </c>
      <c r="BO141" s="122"/>
      <c r="BP141" s="122" t="s">
        <v>1599</v>
      </c>
      <c r="BQ141" s="41" t="s">
        <v>1533</v>
      </c>
      <c r="BR141" s="122" t="s">
        <v>1600</v>
      </c>
      <c r="BS141" s="122" t="s">
        <v>11</v>
      </c>
      <c r="BT141" s="55" t="s">
        <v>11</v>
      </c>
    </row>
    <row r="142" spans="1:77" ht="45" hidden="1" customHeight="1" outlineLevel="1" x14ac:dyDescent="0.25">
      <c r="A142" s="124"/>
      <c r="B142" s="59">
        <v>7</v>
      </c>
      <c r="C142" s="122" t="s">
        <v>293</v>
      </c>
      <c r="D142" s="122" t="s">
        <v>294</v>
      </c>
      <c r="E142" s="122" t="s">
        <v>168</v>
      </c>
      <c r="F142" s="122">
        <v>2015538</v>
      </c>
      <c r="G142" s="122">
        <v>1997211</v>
      </c>
      <c r="H142" s="122">
        <v>1987976</v>
      </c>
      <c r="I142" s="122">
        <f t="shared" si="154"/>
        <v>9235</v>
      </c>
      <c r="J142" s="122">
        <v>1</v>
      </c>
      <c r="K142" s="122"/>
      <c r="L142" s="122"/>
      <c r="M142" s="122">
        <v>270260</v>
      </c>
      <c r="N142" s="122">
        <f t="shared" si="160"/>
        <v>855235.5555555555</v>
      </c>
      <c r="O142" s="122">
        <v>798745</v>
      </c>
      <c r="P142" s="122">
        <v>1</v>
      </c>
      <c r="Q142" s="26">
        <v>748521</v>
      </c>
      <c r="R142" s="122">
        <v>1</v>
      </c>
      <c r="S142" s="122">
        <f t="shared" si="103"/>
        <v>-21191</v>
      </c>
      <c r="T142" s="122"/>
      <c r="U142" s="26">
        <f t="shared" si="155"/>
        <v>769712</v>
      </c>
      <c r="V142" s="122">
        <f t="shared" si="155"/>
        <v>1</v>
      </c>
      <c r="W142" s="122">
        <f>748521+21191</f>
        <v>769712</v>
      </c>
      <c r="X142" s="122">
        <f t="shared" si="156"/>
        <v>1</v>
      </c>
      <c r="Y142" s="122"/>
      <c r="Z142" s="122">
        <f t="shared" si="157"/>
        <v>0</v>
      </c>
      <c r="AA142" s="122"/>
      <c r="AB142" s="122"/>
      <c r="AC142" s="26">
        <f t="shared" si="107"/>
        <v>769712</v>
      </c>
      <c r="AD142" s="122">
        <f t="shared" si="107"/>
        <v>1</v>
      </c>
      <c r="AE142" s="122">
        <f>748521+21191</f>
        <v>769712</v>
      </c>
      <c r="AF142" s="122">
        <f t="shared" si="158"/>
        <v>1</v>
      </c>
      <c r="AG142" s="122"/>
      <c r="AH142" s="122">
        <f t="shared" si="159"/>
        <v>0</v>
      </c>
      <c r="AI142" s="122">
        <f t="shared" si="161"/>
        <v>85523.555555555562</v>
      </c>
      <c r="AJ142" s="122"/>
      <c r="AK142" s="122">
        <v>1</v>
      </c>
      <c r="AL142" s="122">
        <v>841276</v>
      </c>
      <c r="AM142" s="122">
        <v>1</v>
      </c>
      <c r="AN142" s="122">
        <f t="shared" si="110"/>
        <v>65044</v>
      </c>
      <c r="AO142" s="122"/>
      <c r="AP142" s="122">
        <f t="shared" si="162"/>
        <v>0</v>
      </c>
      <c r="AQ142" s="122"/>
      <c r="AR142" s="34">
        <f t="shared" si="111"/>
        <v>776232</v>
      </c>
      <c r="AS142" s="10">
        <f t="shared" si="111"/>
        <v>1</v>
      </c>
      <c r="AT142" s="10">
        <f>743828+32404</f>
        <v>776232</v>
      </c>
      <c r="AU142" s="10">
        <f t="shared" si="112"/>
        <v>1</v>
      </c>
      <c r="AV142" s="10"/>
      <c r="AW142" s="10">
        <f t="shared" si="119"/>
        <v>0</v>
      </c>
      <c r="AX142" s="10">
        <f>AR142/0.9*0.1</f>
        <v>86248</v>
      </c>
      <c r="AY142" s="10">
        <v>1</v>
      </c>
      <c r="AZ142" s="10"/>
      <c r="BA142" s="10">
        <v>0</v>
      </c>
      <c r="BB142" s="10">
        <v>0</v>
      </c>
      <c r="BC142" s="10">
        <f t="shared" si="100"/>
        <v>0</v>
      </c>
      <c r="BD142" s="10"/>
      <c r="BE142" s="26">
        <f t="shared" si="113"/>
        <v>0</v>
      </c>
      <c r="BF142" s="122">
        <f t="shared" si="113"/>
        <v>0</v>
      </c>
      <c r="BG142" s="122"/>
      <c r="BH142" s="122">
        <f t="shared" si="114"/>
        <v>0</v>
      </c>
      <c r="BI142" s="122"/>
      <c r="BJ142" s="122">
        <f t="shared" si="115"/>
        <v>0</v>
      </c>
      <c r="BK142" s="122"/>
      <c r="BL142" s="122"/>
      <c r="BM142" s="122"/>
      <c r="BN142" s="122" t="s">
        <v>906</v>
      </c>
      <c r="BO142" s="122"/>
      <c r="BP142" s="122" t="s">
        <v>1068</v>
      </c>
      <c r="BQ142" s="122" t="s">
        <v>1070</v>
      </c>
      <c r="BR142" s="122" t="s">
        <v>1069</v>
      </c>
      <c r="BS142" s="122" t="s">
        <v>11</v>
      </c>
      <c r="BT142" s="55" t="s">
        <v>11</v>
      </c>
    </row>
    <row r="143" spans="1:77" ht="57.75" hidden="1" customHeight="1" outlineLevel="1" x14ac:dyDescent="0.25">
      <c r="A143" s="124"/>
      <c r="B143" s="59">
        <v>8</v>
      </c>
      <c r="C143" s="122" t="s">
        <v>1774</v>
      </c>
      <c r="D143" s="122" t="s">
        <v>1775</v>
      </c>
      <c r="E143" s="122">
        <v>2016</v>
      </c>
      <c r="F143" s="122">
        <v>323868</v>
      </c>
      <c r="G143" s="122">
        <v>318967</v>
      </c>
      <c r="H143" s="122"/>
      <c r="I143" s="122"/>
      <c r="J143" s="122"/>
      <c r="K143" s="122"/>
      <c r="L143" s="122"/>
      <c r="M143" s="122"/>
      <c r="N143" s="122"/>
      <c r="O143" s="122"/>
      <c r="P143" s="122"/>
      <c r="Q143" s="26"/>
      <c r="R143" s="122"/>
      <c r="S143" s="122">
        <f t="shared" si="103"/>
        <v>0</v>
      </c>
      <c r="T143" s="122"/>
      <c r="U143" s="26"/>
      <c r="V143" s="122"/>
      <c r="W143" s="122"/>
      <c r="X143" s="122"/>
      <c r="Y143" s="122"/>
      <c r="Z143" s="122"/>
      <c r="AA143" s="122">
        <v>0</v>
      </c>
      <c r="AB143" s="122"/>
      <c r="AC143" s="26"/>
      <c r="AD143" s="122"/>
      <c r="AE143" s="122"/>
      <c r="AF143" s="122"/>
      <c r="AG143" s="122"/>
      <c r="AH143" s="122"/>
      <c r="AI143" s="122">
        <f t="shared" si="161"/>
        <v>0</v>
      </c>
      <c r="AJ143" s="122"/>
      <c r="AK143" s="122"/>
      <c r="AL143" s="122"/>
      <c r="AM143" s="122"/>
      <c r="AN143" s="122">
        <f t="shared" si="110"/>
        <v>-287070</v>
      </c>
      <c r="AO143" s="122"/>
      <c r="AP143" s="122">
        <f t="shared" si="162"/>
        <v>0</v>
      </c>
      <c r="AQ143" s="122"/>
      <c r="AR143" s="34">
        <f t="shared" si="111"/>
        <v>287070</v>
      </c>
      <c r="AS143" s="10">
        <f t="shared" si="111"/>
        <v>1</v>
      </c>
      <c r="AT143" s="10"/>
      <c r="AU143" s="10"/>
      <c r="AV143" s="10">
        <v>287070</v>
      </c>
      <c r="AW143" s="10">
        <v>1</v>
      </c>
      <c r="AX143" s="10">
        <f t="shared" ref="AX143:AX147" si="163">AR143/0.9*0.1</f>
        <v>31896.666666666672</v>
      </c>
      <c r="AY143" s="10">
        <v>1</v>
      </c>
      <c r="AZ143" s="10"/>
      <c r="BA143" s="10"/>
      <c r="BB143" s="10"/>
      <c r="BC143" s="10">
        <f t="shared" si="100"/>
        <v>0</v>
      </c>
      <c r="BD143" s="10"/>
      <c r="BE143" s="26"/>
      <c r="BF143" s="122"/>
      <c r="BG143" s="122"/>
      <c r="BH143" s="122"/>
      <c r="BI143" s="122"/>
      <c r="BJ143" s="122"/>
      <c r="BK143" s="122"/>
      <c r="BL143" s="122"/>
      <c r="BM143" s="122"/>
      <c r="BN143" s="122" t="s">
        <v>1776</v>
      </c>
      <c r="BO143" s="122" t="s">
        <v>1780</v>
      </c>
      <c r="BP143" s="122" t="s">
        <v>1779</v>
      </c>
      <c r="BQ143" s="122" t="s">
        <v>1777</v>
      </c>
      <c r="BR143" s="122" t="s">
        <v>1778</v>
      </c>
      <c r="BS143" s="122" t="s">
        <v>11</v>
      </c>
      <c r="BT143" s="99" t="s">
        <v>11</v>
      </c>
    </row>
    <row r="144" spans="1:77" ht="72" hidden="1" customHeight="1" outlineLevel="1" x14ac:dyDescent="0.25">
      <c r="A144" s="124"/>
      <c r="B144" s="59">
        <v>9</v>
      </c>
      <c r="C144" s="122" t="s">
        <v>29</v>
      </c>
      <c r="D144" s="122" t="s">
        <v>1145</v>
      </c>
      <c r="E144" s="122" t="s">
        <v>10</v>
      </c>
      <c r="F144" s="122">
        <v>992381.92</v>
      </c>
      <c r="G144" s="122">
        <v>962822</v>
      </c>
      <c r="H144" s="122"/>
      <c r="I144" s="122"/>
      <c r="J144" s="122"/>
      <c r="K144" s="122"/>
      <c r="L144" s="122"/>
      <c r="M144" s="122">
        <v>0</v>
      </c>
      <c r="N144" s="122">
        <f t="shared" si="160"/>
        <v>0</v>
      </c>
      <c r="O144" s="122">
        <v>481411</v>
      </c>
      <c r="P144" s="122">
        <v>1</v>
      </c>
      <c r="Q144" s="26">
        <v>120000</v>
      </c>
      <c r="R144" s="122">
        <v>1</v>
      </c>
      <c r="S144" s="122">
        <f t="shared" si="103"/>
        <v>120000</v>
      </c>
      <c r="T144" s="122"/>
      <c r="U144" s="26">
        <f t="shared" si="155"/>
        <v>120000</v>
      </c>
      <c r="V144" s="122">
        <f t="shared" si="155"/>
        <v>1</v>
      </c>
      <c r="W144" s="122"/>
      <c r="X144" s="122">
        <f t="shared" si="156"/>
        <v>0</v>
      </c>
      <c r="Y144" s="122">
        <v>120000</v>
      </c>
      <c r="Z144" s="122">
        <f t="shared" si="157"/>
        <v>1</v>
      </c>
      <c r="AA144" s="122">
        <v>-120000</v>
      </c>
      <c r="AB144" s="122"/>
      <c r="AC144" s="26">
        <f t="shared" si="107"/>
        <v>0</v>
      </c>
      <c r="AD144" s="122">
        <f t="shared" si="107"/>
        <v>0</v>
      </c>
      <c r="AE144" s="122"/>
      <c r="AF144" s="122">
        <f t="shared" si="158"/>
        <v>0</v>
      </c>
      <c r="AG144" s="122"/>
      <c r="AH144" s="122">
        <f t="shared" si="159"/>
        <v>0</v>
      </c>
      <c r="AI144" s="122">
        <f t="shared" si="161"/>
        <v>0</v>
      </c>
      <c r="AJ144" s="122"/>
      <c r="AK144" s="122">
        <v>1</v>
      </c>
      <c r="AL144" s="122">
        <v>746540</v>
      </c>
      <c r="AM144" s="122">
        <v>1</v>
      </c>
      <c r="AN144" s="122">
        <f t="shared" si="110"/>
        <v>-120000</v>
      </c>
      <c r="AO144" s="122"/>
      <c r="AP144" s="122">
        <f t="shared" si="162"/>
        <v>120000</v>
      </c>
      <c r="AQ144" s="122"/>
      <c r="AR144" s="34">
        <f t="shared" si="111"/>
        <v>866540</v>
      </c>
      <c r="AS144" s="10">
        <f t="shared" si="111"/>
        <v>1</v>
      </c>
      <c r="AT144" s="10"/>
      <c r="AU144" s="10">
        <f t="shared" si="112"/>
        <v>0</v>
      </c>
      <c r="AV144" s="10">
        <f>746540+120000</f>
        <v>866540</v>
      </c>
      <c r="AW144" s="10">
        <f t="shared" si="119"/>
        <v>1</v>
      </c>
      <c r="AX144" s="10">
        <f t="shared" si="163"/>
        <v>96282.222222222234</v>
      </c>
      <c r="AY144" s="10">
        <v>1</v>
      </c>
      <c r="AZ144" s="10"/>
      <c r="BA144" s="10">
        <v>0</v>
      </c>
      <c r="BB144" s="10">
        <v>0</v>
      </c>
      <c r="BC144" s="10">
        <f t="shared" si="100"/>
        <v>0</v>
      </c>
      <c r="BD144" s="10"/>
      <c r="BE144" s="26">
        <f t="shared" ref="BE144:BF174" si="164">BG144+BI144</f>
        <v>0</v>
      </c>
      <c r="BF144" s="122">
        <f t="shared" si="164"/>
        <v>0</v>
      </c>
      <c r="BG144" s="122">
        <v>0</v>
      </c>
      <c r="BH144" s="122">
        <f t="shared" ref="BH144:BH174" si="165">IF(BG144,1,0)</f>
        <v>0</v>
      </c>
      <c r="BI144" s="122">
        <v>0</v>
      </c>
      <c r="BJ144" s="122">
        <f t="shared" si="115"/>
        <v>0</v>
      </c>
      <c r="BK144" s="122"/>
      <c r="BL144" s="122"/>
      <c r="BM144" s="122"/>
      <c r="BN144" s="122" t="s">
        <v>30</v>
      </c>
      <c r="BO144" s="122" t="s">
        <v>31</v>
      </c>
      <c r="BP144" s="122" t="s">
        <v>32</v>
      </c>
      <c r="BQ144" s="122" t="s">
        <v>1146</v>
      </c>
      <c r="BR144" s="122" t="s">
        <v>33</v>
      </c>
      <c r="BS144" s="122" t="s">
        <v>11</v>
      </c>
      <c r="BT144" s="55" t="s">
        <v>11</v>
      </c>
    </row>
    <row r="145" spans="1:77" ht="44.25" hidden="1" customHeight="1" outlineLevel="1" x14ac:dyDescent="0.25">
      <c r="A145" s="124"/>
      <c r="B145" s="59">
        <v>10</v>
      </c>
      <c r="C145" s="122" t="s">
        <v>34</v>
      </c>
      <c r="D145" s="122" t="s">
        <v>35</v>
      </c>
      <c r="E145" s="122" t="s">
        <v>10</v>
      </c>
      <c r="F145" s="122">
        <v>1190886</v>
      </c>
      <c r="G145" s="122">
        <v>1144945</v>
      </c>
      <c r="H145" s="122"/>
      <c r="I145" s="122"/>
      <c r="J145" s="122"/>
      <c r="K145" s="122"/>
      <c r="L145" s="122"/>
      <c r="M145" s="122">
        <v>0</v>
      </c>
      <c r="N145" s="122">
        <f t="shared" si="160"/>
        <v>0</v>
      </c>
      <c r="O145" s="122">
        <v>558525</v>
      </c>
      <c r="P145" s="122">
        <v>1</v>
      </c>
      <c r="Q145" s="26">
        <v>312380</v>
      </c>
      <c r="R145" s="122">
        <v>1</v>
      </c>
      <c r="S145" s="122">
        <f t="shared" si="103"/>
        <v>312380</v>
      </c>
      <c r="T145" s="122"/>
      <c r="U145" s="26">
        <f t="shared" si="155"/>
        <v>312380</v>
      </c>
      <c r="V145" s="122">
        <f t="shared" si="155"/>
        <v>1</v>
      </c>
      <c r="W145" s="122"/>
      <c r="X145" s="122">
        <f t="shared" si="156"/>
        <v>0</v>
      </c>
      <c r="Y145" s="122">
        <v>312380</v>
      </c>
      <c r="Z145" s="122">
        <f t="shared" si="157"/>
        <v>1</v>
      </c>
      <c r="AA145" s="122">
        <v>-312380</v>
      </c>
      <c r="AB145" s="122"/>
      <c r="AC145" s="26">
        <f t="shared" si="107"/>
        <v>0</v>
      </c>
      <c r="AD145" s="122">
        <f t="shared" si="107"/>
        <v>0</v>
      </c>
      <c r="AE145" s="122"/>
      <c r="AF145" s="122">
        <f t="shared" si="158"/>
        <v>0</v>
      </c>
      <c r="AG145" s="122"/>
      <c r="AH145" s="122">
        <f t="shared" si="159"/>
        <v>0</v>
      </c>
      <c r="AI145" s="122">
        <f t="shared" si="161"/>
        <v>0</v>
      </c>
      <c r="AJ145" s="122"/>
      <c r="AK145" s="122">
        <v>1</v>
      </c>
      <c r="AL145" s="122">
        <v>1030451</v>
      </c>
      <c r="AM145" s="122">
        <v>1</v>
      </c>
      <c r="AN145" s="122">
        <f t="shared" si="110"/>
        <v>0</v>
      </c>
      <c r="AO145" s="122"/>
      <c r="AP145" s="122">
        <f t="shared" si="162"/>
        <v>312380</v>
      </c>
      <c r="AQ145" s="122"/>
      <c r="AR145" s="34">
        <f t="shared" si="111"/>
        <v>1030451</v>
      </c>
      <c r="AS145" s="10">
        <f t="shared" si="111"/>
        <v>1</v>
      </c>
      <c r="AT145" s="10"/>
      <c r="AU145" s="10">
        <f t="shared" si="112"/>
        <v>0</v>
      </c>
      <c r="AV145" s="10">
        <v>1030451</v>
      </c>
      <c r="AW145" s="10">
        <f t="shared" si="119"/>
        <v>1</v>
      </c>
      <c r="AX145" s="10">
        <f t="shared" si="163"/>
        <v>114494.55555555556</v>
      </c>
      <c r="AY145" s="10">
        <v>1</v>
      </c>
      <c r="AZ145" s="10"/>
      <c r="BA145" s="10">
        <v>0</v>
      </c>
      <c r="BB145" s="10">
        <v>0</v>
      </c>
      <c r="BC145" s="10">
        <f t="shared" si="100"/>
        <v>0</v>
      </c>
      <c r="BD145" s="10"/>
      <c r="BE145" s="26">
        <f t="shared" si="164"/>
        <v>0</v>
      </c>
      <c r="BF145" s="122">
        <f t="shared" si="164"/>
        <v>0</v>
      </c>
      <c r="BG145" s="122">
        <v>0</v>
      </c>
      <c r="BH145" s="122">
        <f t="shared" si="165"/>
        <v>0</v>
      </c>
      <c r="BI145" s="122">
        <v>0</v>
      </c>
      <c r="BJ145" s="122">
        <f t="shared" si="115"/>
        <v>0</v>
      </c>
      <c r="BK145" s="122"/>
      <c r="BL145" s="122"/>
      <c r="BM145" s="122"/>
      <c r="BN145" s="122" t="s">
        <v>36</v>
      </c>
      <c r="BO145" s="122" t="s">
        <v>37</v>
      </c>
      <c r="BP145" s="122" t="s">
        <v>38</v>
      </c>
      <c r="BQ145" s="122" t="s">
        <v>39</v>
      </c>
      <c r="BR145" s="122" t="s">
        <v>40</v>
      </c>
      <c r="BS145" s="122" t="s">
        <v>11</v>
      </c>
      <c r="BT145" s="55" t="s">
        <v>973</v>
      </c>
    </row>
    <row r="146" spans="1:77" ht="38.25" hidden="1" customHeight="1" outlineLevel="1" x14ac:dyDescent="0.25">
      <c r="A146" s="124"/>
      <c r="B146" s="59">
        <v>11</v>
      </c>
      <c r="C146" s="122" t="s">
        <v>1275</v>
      </c>
      <c r="D146" s="122" t="s">
        <v>41</v>
      </c>
      <c r="E146" s="122">
        <v>2016</v>
      </c>
      <c r="F146" s="122">
        <v>166392</v>
      </c>
      <c r="G146" s="122">
        <v>162642</v>
      </c>
      <c r="H146" s="122"/>
      <c r="I146" s="122"/>
      <c r="J146" s="122"/>
      <c r="K146" s="122"/>
      <c r="L146" s="122"/>
      <c r="M146" s="122">
        <v>0</v>
      </c>
      <c r="N146" s="122">
        <f t="shared" si="160"/>
        <v>0</v>
      </c>
      <c r="O146" s="122">
        <v>81146</v>
      </c>
      <c r="P146" s="122">
        <v>1</v>
      </c>
      <c r="Q146" s="26">
        <v>0</v>
      </c>
      <c r="R146" s="122">
        <v>0</v>
      </c>
      <c r="S146" s="122">
        <f t="shared" si="103"/>
        <v>0</v>
      </c>
      <c r="T146" s="122"/>
      <c r="U146" s="26">
        <f t="shared" si="155"/>
        <v>0</v>
      </c>
      <c r="V146" s="122">
        <f t="shared" si="155"/>
        <v>0</v>
      </c>
      <c r="W146" s="122"/>
      <c r="X146" s="122">
        <f t="shared" si="156"/>
        <v>0</v>
      </c>
      <c r="Y146" s="122"/>
      <c r="Z146" s="122">
        <f t="shared" si="157"/>
        <v>0</v>
      </c>
      <c r="AA146" s="122">
        <v>0</v>
      </c>
      <c r="AB146" s="122"/>
      <c r="AC146" s="26">
        <f t="shared" si="107"/>
        <v>0</v>
      </c>
      <c r="AD146" s="122">
        <f t="shared" si="107"/>
        <v>0</v>
      </c>
      <c r="AE146" s="122"/>
      <c r="AF146" s="122">
        <f t="shared" si="158"/>
        <v>0</v>
      </c>
      <c r="AG146" s="122"/>
      <c r="AH146" s="122">
        <f t="shared" si="159"/>
        <v>0</v>
      </c>
      <c r="AI146" s="122">
        <f t="shared" si="161"/>
        <v>0</v>
      </c>
      <c r="AJ146" s="122"/>
      <c r="AK146" s="122"/>
      <c r="AL146" s="122">
        <v>0</v>
      </c>
      <c r="AM146" s="122">
        <v>0</v>
      </c>
      <c r="AN146" s="122">
        <f t="shared" si="110"/>
        <v>-146378</v>
      </c>
      <c r="AO146" s="122"/>
      <c r="AP146" s="122">
        <f t="shared" si="162"/>
        <v>0</v>
      </c>
      <c r="AQ146" s="122"/>
      <c r="AR146" s="34">
        <f t="shared" si="111"/>
        <v>146378</v>
      </c>
      <c r="AS146" s="10">
        <f t="shared" si="111"/>
        <v>1</v>
      </c>
      <c r="AT146" s="10"/>
      <c r="AU146" s="10">
        <f t="shared" si="112"/>
        <v>0</v>
      </c>
      <c r="AV146" s="10">
        <v>146378</v>
      </c>
      <c r="AW146" s="10">
        <f t="shared" si="119"/>
        <v>1</v>
      </c>
      <c r="AX146" s="10">
        <f t="shared" si="163"/>
        <v>16264.222222222223</v>
      </c>
      <c r="AY146" s="10">
        <v>1</v>
      </c>
      <c r="AZ146" s="10"/>
      <c r="BA146" s="10">
        <v>0</v>
      </c>
      <c r="BB146" s="10">
        <v>0</v>
      </c>
      <c r="BC146" s="10">
        <f t="shared" si="100"/>
        <v>0</v>
      </c>
      <c r="BD146" s="10"/>
      <c r="BE146" s="26">
        <f t="shared" si="164"/>
        <v>0</v>
      </c>
      <c r="BF146" s="122">
        <f t="shared" si="164"/>
        <v>0</v>
      </c>
      <c r="BG146" s="122"/>
      <c r="BH146" s="122">
        <f t="shared" si="165"/>
        <v>0</v>
      </c>
      <c r="BI146" s="122"/>
      <c r="BJ146" s="122">
        <f t="shared" si="115"/>
        <v>0</v>
      </c>
      <c r="BK146" s="122"/>
      <c r="BL146" s="122"/>
      <c r="BM146" s="122"/>
      <c r="BN146" s="122" t="s">
        <v>42</v>
      </c>
      <c r="BO146" s="122" t="s">
        <v>43</v>
      </c>
      <c r="BP146" s="122" t="s">
        <v>1277</v>
      </c>
      <c r="BQ146" s="122" t="s">
        <v>44</v>
      </c>
      <c r="BR146" s="122" t="s">
        <v>974</v>
      </c>
      <c r="BS146" s="122" t="s">
        <v>11</v>
      </c>
      <c r="BT146" s="55" t="s">
        <v>973</v>
      </c>
    </row>
    <row r="147" spans="1:77" ht="42.75" hidden="1" customHeight="1" outlineLevel="1" x14ac:dyDescent="0.25">
      <c r="A147" s="124"/>
      <c r="B147" s="59">
        <v>12</v>
      </c>
      <c r="C147" s="122" t="s">
        <v>1276</v>
      </c>
      <c r="D147" s="122" t="s">
        <v>45</v>
      </c>
      <c r="E147" s="122">
        <v>2016</v>
      </c>
      <c r="F147" s="122">
        <v>189375</v>
      </c>
      <c r="G147" s="122">
        <v>184447</v>
      </c>
      <c r="H147" s="122"/>
      <c r="I147" s="122"/>
      <c r="J147" s="122"/>
      <c r="K147" s="122"/>
      <c r="L147" s="122"/>
      <c r="M147" s="122">
        <v>0</v>
      </c>
      <c r="N147" s="122">
        <f t="shared" si="160"/>
        <v>0</v>
      </c>
      <c r="O147" s="122">
        <v>92223</v>
      </c>
      <c r="P147" s="122">
        <v>1</v>
      </c>
      <c r="Q147" s="26">
        <v>0</v>
      </c>
      <c r="R147" s="122">
        <v>0</v>
      </c>
      <c r="S147" s="122">
        <f t="shared" si="103"/>
        <v>0</v>
      </c>
      <c r="T147" s="122"/>
      <c r="U147" s="26">
        <f t="shared" si="155"/>
        <v>0</v>
      </c>
      <c r="V147" s="122">
        <f t="shared" si="155"/>
        <v>0</v>
      </c>
      <c r="W147" s="122"/>
      <c r="X147" s="122">
        <f t="shared" si="156"/>
        <v>0</v>
      </c>
      <c r="Y147" s="122"/>
      <c r="Z147" s="122">
        <f t="shared" si="157"/>
        <v>0</v>
      </c>
      <c r="AA147" s="122">
        <v>0</v>
      </c>
      <c r="AB147" s="122"/>
      <c r="AC147" s="26">
        <f t="shared" si="107"/>
        <v>0</v>
      </c>
      <c r="AD147" s="122">
        <f t="shared" si="107"/>
        <v>0</v>
      </c>
      <c r="AE147" s="122"/>
      <c r="AF147" s="122">
        <f t="shared" si="158"/>
        <v>0</v>
      </c>
      <c r="AG147" s="122"/>
      <c r="AH147" s="122">
        <f t="shared" si="159"/>
        <v>0</v>
      </c>
      <c r="AI147" s="122">
        <f t="shared" si="161"/>
        <v>0</v>
      </c>
      <c r="AJ147" s="122"/>
      <c r="AK147" s="122"/>
      <c r="AL147" s="122">
        <v>0</v>
      </c>
      <c r="AM147" s="122">
        <v>0</v>
      </c>
      <c r="AN147" s="122">
        <f t="shared" si="110"/>
        <v>-166002</v>
      </c>
      <c r="AO147" s="122"/>
      <c r="AP147" s="122">
        <f t="shared" si="162"/>
        <v>0</v>
      </c>
      <c r="AQ147" s="122"/>
      <c r="AR147" s="34">
        <f t="shared" si="111"/>
        <v>166002</v>
      </c>
      <c r="AS147" s="10">
        <f t="shared" si="111"/>
        <v>1</v>
      </c>
      <c r="AT147" s="10"/>
      <c r="AU147" s="10">
        <f t="shared" si="112"/>
        <v>0</v>
      </c>
      <c r="AV147" s="10">
        <v>166002</v>
      </c>
      <c r="AW147" s="10">
        <f t="shared" si="119"/>
        <v>1</v>
      </c>
      <c r="AX147" s="10">
        <f t="shared" si="163"/>
        <v>18444.666666666668</v>
      </c>
      <c r="AY147" s="10">
        <v>1</v>
      </c>
      <c r="AZ147" s="10"/>
      <c r="BA147" s="10">
        <v>0</v>
      </c>
      <c r="BB147" s="10">
        <v>0</v>
      </c>
      <c r="BC147" s="10">
        <f t="shared" si="100"/>
        <v>0</v>
      </c>
      <c r="BD147" s="10"/>
      <c r="BE147" s="26">
        <f t="shared" si="164"/>
        <v>0</v>
      </c>
      <c r="BF147" s="122">
        <f t="shared" si="164"/>
        <v>0</v>
      </c>
      <c r="BG147" s="122"/>
      <c r="BH147" s="122">
        <f t="shared" si="165"/>
        <v>0</v>
      </c>
      <c r="BI147" s="122"/>
      <c r="BJ147" s="122">
        <f t="shared" si="115"/>
        <v>0</v>
      </c>
      <c r="BK147" s="122"/>
      <c r="BL147" s="122"/>
      <c r="BM147" s="122"/>
      <c r="BN147" s="122" t="s">
        <v>46</v>
      </c>
      <c r="BO147" s="122" t="s">
        <v>47</v>
      </c>
      <c r="BP147" s="122" t="s">
        <v>48</v>
      </c>
      <c r="BQ147" s="122" t="s">
        <v>1229</v>
      </c>
      <c r="BR147" s="122" t="s">
        <v>49</v>
      </c>
      <c r="BS147" s="122" t="s">
        <v>11</v>
      </c>
      <c r="BT147" s="55" t="s">
        <v>973</v>
      </c>
    </row>
    <row r="148" spans="1:77" s="35" customFormat="1" ht="11.25" customHeight="1" collapsed="1" x14ac:dyDescent="0.25">
      <c r="A148" s="48"/>
      <c r="B148" s="60">
        <f>B149</f>
        <v>25</v>
      </c>
      <c r="C148" s="26" t="s">
        <v>537</v>
      </c>
      <c r="D148" s="26"/>
      <c r="E148" s="26"/>
      <c r="F148" s="27">
        <f>F149</f>
        <v>6975304.7400000002</v>
      </c>
      <c r="G148" s="27">
        <f t="shared" ref="G148:BT148" si="166">G149</f>
        <v>6808415.4299999997</v>
      </c>
      <c r="H148" s="27"/>
      <c r="I148" s="27"/>
      <c r="J148" s="27"/>
      <c r="K148" s="27"/>
      <c r="L148" s="27"/>
      <c r="M148" s="27">
        <f t="shared" si="166"/>
        <v>275466</v>
      </c>
      <c r="N148" s="27">
        <f t="shared" si="166"/>
        <v>826773.75</v>
      </c>
      <c r="O148" s="27">
        <v>4507312</v>
      </c>
      <c r="P148" s="27">
        <v>22</v>
      </c>
      <c r="Q148" s="27">
        <v>2822256</v>
      </c>
      <c r="R148" s="27">
        <v>17</v>
      </c>
      <c r="S148" s="27">
        <f t="shared" si="166"/>
        <v>2160837</v>
      </c>
      <c r="T148" s="27">
        <f t="shared" si="166"/>
        <v>0</v>
      </c>
      <c r="U148" s="27">
        <f t="shared" si="166"/>
        <v>3027233</v>
      </c>
      <c r="V148" s="27">
        <f t="shared" si="166"/>
        <v>18</v>
      </c>
      <c r="W148" s="27">
        <f t="shared" si="166"/>
        <v>661419</v>
      </c>
      <c r="X148" s="27">
        <f t="shared" si="166"/>
        <v>2</v>
      </c>
      <c r="Y148" s="27">
        <f t="shared" si="166"/>
        <v>2365814</v>
      </c>
      <c r="Z148" s="27">
        <f t="shared" si="166"/>
        <v>16</v>
      </c>
      <c r="AA148" s="27">
        <f t="shared" si="166"/>
        <v>-2365814</v>
      </c>
      <c r="AB148" s="27">
        <f t="shared" si="166"/>
        <v>0</v>
      </c>
      <c r="AC148" s="27">
        <f t="shared" si="166"/>
        <v>661419</v>
      </c>
      <c r="AD148" s="27">
        <f t="shared" si="166"/>
        <v>2</v>
      </c>
      <c r="AE148" s="27">
        <f t="shared" si="166"/>
        <v>661419</v>
      </c>
      <c r="AF148" s="27">
        <f t="shared" si="166"/>
        <v>2</v>
      </c>
      <c r="AG148" s="27">
        <f t="shared" si="166"/>
        <v>0</v>
      </c>
      <c r="AH148" s="27">
        <f t="shared" si="166"/>
        <v>0</v>
      </c>
      <c r="AI148" s="27">
        <f t="shared" si="166"/>
        <v>165354.75</v>
      </c>
      <c r="AJ148" s="69">
        <f t="shared" si="166"/>
        <v>14</v>
      </c>
      <c r="AK148" s="69">
        <f t="shared" si="166"/>
        <v>4</v>
      </c>
      <c r="AL148" s="69">
        <f t="shared" si="166"/>
        <v>1792808</v>
      </c>
      <c r="AM148" s="69">
        <f t="shared" si="166"/>
        <v>9</v>
      </c>
      <c r="AN148" s="69">
        <f t="shared" si="166"/>
        <v>-2341616</v>
      </c>
      <c r="AO148" s="69">
        <f t="shared" si="166"/>
        <v>0</v>
      </c>
      <c r="AP148" s="69">
        <f t="shared" si="166"/>
        <v>2365814</v>
      </c>
      <c r="AQ148" s="69">
        <f t="shared" si="166"/>
        <v>0</v>
      </c>
      <c r="AR148" s="27">
        <f t="shared" si="166"/>
        <v>4134424</v>
      </c>
      <c r="AS148" s="69">
        <f t="shared" si="166"/>
        <v>21</v>
      </c>
      <c r="AT148" s="27">
        <f t="shared" si="166"/>
        <v>72448</v>
      </c>
      <c r="AU148" s="27">
        <f t="shared" si="166"/>
        <v>1</v>
      </c>
      <c r="AV148" s="27">
        <f t="shared" si="166"/>
        <v>4061976</v>
      </c>
      <c r="AW148" s="27">
        <f t="shared" si="166"/>
        <v>20</v>
      </c>
      <c r="AX148" s="27">
        <f t="shared" si="166"/>
        <v>1033606</v>
      </c>
      <c r="AY148" s="27">
        <f t="shared" si="166"/>
        <v>10</v>
      </c>
      <c r="AZ148" s="27">
        <f t="shared" si="166"/>
        <v>1</v>
      </c>
      <c r="BA148" s="27">
        <v>7549754</v>
      </c>
      <c r="BB148" s="27">
        <v>39</v>
      </c>
      <c r="BC148" s="10">
        <f t="shared" si="100"/>
        <v>7549754</v>
      </c>
      <c r="BD148" s="27"/>
      <c r="BE148" s="27">
        <f t="shared" si="166"/>
        <v>0</v>
      </c>
      <c r="BF148" s="69">
        <f t="shared" si="166"/>
        <v>0</v>
      </c>
      <c r="BG148" s="27">
        <f t="shared" si="166"/>
        <v>0</v>
      </c>
      <c r="BH148" s="27">
        <f t="shared" si="166"/>
        <v>0</v>
      </c>
      <c r="BI148" s="27">
        <f t="shared" si="166"/>
        <v>0</v>
      </c>
      <c r="BJ148" s="27">
        <f t="shared" si="166"/>
        <v>0</v>
      </c>
      <c r="BK148" s="27">
        <f t="shared" si="166"/>
        <v>0</v>
      </c>
      <c r="BL148" s="27">
        <f t="shared" si="166"/>
        <v>0</v>
      </c>
      <c r="BM148" s="27">
        <f t="shared" si="166"/>
        <v>0</v>
      </c>
      <c r="BN148" s="27">
        <f t="shared" si="166"/>
        <v>0</v>
      </c>
      <c r="BO148" s="27">
        <f t="shared" si="166"/>
        <v>0</v>
      </c>
      <c r="BP148" s="27">
        <f t="shared" si="166"/>
        <v>0</v>
      </c>
      <c r="BQ148" s="27">
        <f t="shared" si="166"/>
        <v>0</v>
      </c>
      <c r="BR148" s="27">
        <f t="shared" si="166"/>
        <v>0</v>
      </c>
      <c r="BS148" s="27">
        <f t="shared" si="166"/>
        <v>0</v>
      </c>
      <c r="BT148" s="61">
        <f t="shared" si="166"/>
        <v>0</v>
      </c>
      <c r="BU148" s="25"/>
      <c r="BV148" s="25"/>
      <c r="BW148" s="25"/>
      <c r="BX148" s="25"/>
      <c r="BY148" s="25"/>
    </row>
    <row r="149" spans="1:77" s="30" customFormat="1" ht="11.25" hidden="1" outlineLevel="1" x14ac:dyDescent="0.25">
      <c r="A149" s="49"/>
      <c r="B149" s="125">
        <v>25</v>
      </c>
      <c r="C149" s="122" t="s">
        <v>300</v>
      </c>
      <c r="D149" s="122"/>
      <c r="E149" s="122"/>
      <c r="F149" s="122">
        <f>SUM(F150:F174)</f>
        <v>6975304.7400000002</v>
      </c>
      <c r="G149" s="122">
        <f>SUM(G150:G174)</f>
        <v>6808415.4299999997</v>
      </c>
      <c r="H149" s="122"/>
      <c r="I149" s="122"/>
      <c r="J149" s="122"/>
      <c r="K149" s="122"/>
      <c r="L149" s="122"/>
      <c r="M149" s="122">
        <f>SUM(M150:M174)</f>
        <v>275466</v>
      </c>
      <c r="N149" s="122">
        <f>SUM(N150:N174)</f>
        <v>826773.75</v>
      </c>
      <c r="O149" s="122">
        <v>4507312</v>
      </c>
      <c r="P149" s="122">
        <v>22</v>
      </c>
      <c r="Q149" s="26">
        <v>2822256</v>
      </c>
      <c r="R149" s="122">
        <v>17</v>
      </c>
      <c r="S149" s="26">
        <f t="shared" ref="S149:AZ149" si="167">SUM(S150:S174)</f>
        <v>2160837</v>
      </c>
      <c r="T149" s="26">
        <f t="shared" si="167"/>
        <v>0</v>
      </c>
      <c r="U149" s="26">
        <f t="shared" si="167"/>
        <v>3027233</v>
      </c>
      <c r="V149" s="67">
        <f t="shared" si="167"/>
        <v>18</v>
      </c>
      <c r="W149" s="67">
        <f t="shared" si="167"/>
        <v>661419</v>
      </c>
      <c r="X149" s="67">
        <f t="shared" si="167"/>
        <v>2</v>
      </c>
      <c r="Y149" s="67">
        <f t="shared" si="167"/>
        <v>2365814</v>
      </c>
      <c r="Z149" s="67">
        <f t="shared" si="167"/>
        <v>16</v>
      </c>
      <c r="AA149" s="67">
        <f t="shared" si="167"/>
        <v>-2365814</v>
      </c>
      <c r="AB149" s="67">
        <f t="shared" si="167"/>
        <v>0</v>
      </c>
      <c r="AC149" s="26">
        <f t="shared" si="167"/>
        <v>661419</v>
      </c>
      <c r="AD149" s="122">
        <f t="shared" si="167"/>
        <v>2</v>
      </c>
      <c r="AE149" s="122">
        <f t="shared" si="167"/>
        <v>661419</v>
      </c>
      <c r="AF149" s="122">
        <f t="shared" si="167"/>
        <v>2</v>
      </c>
      <c r="AG149" s="122">
        <f t="shared" si="167"/>
        <v>0</v>
      </c>
      <c r="AH149" s="122">
        <f t="shared" si="167"/>
        <v>0</v>
      </c>
      <c r="AI149" s="122">
        <f t="shared" si="167"/>
        <v>165354.75</v>
      </c>
      <c r="AJ149" s="122">
        <f t="shared" si="167"/>
        <v>14</v>
      </c>
      <c r="AK149" s="122">
        <f t="shared" si="167"/>
        <v>4</v>
      </c>
      <c r="AL149" s="122">
        <f t="shared" si="167"/>
        <v>1792808</v>
      </c>
      <c r="AM149" s="122">
        <f t="shared" si="167"/>
        <v>9</v>
      </c>
      <c r="AN149" s="122">
        <f t="shared" si="167"/>
        <v>-2341616</v>
      </c>
      <c r="AO149" s="122">
        <f t="shared" si="167"/>
        <v>0</v>
      </c>
      <c r="AP149" s="122">
        <f t="shared" si="167"/>
        <v>2365814</v>
      </c>
      <c r="AQ149" s="122">
        <f t="shared" si="167"/>
        <v>0</v>
      </c>
      <c r="AR149" s="26">
        <f t="shared" si="167"/>
        <v>4134424</v>
      </c>
      <c r="AS149" s="122">
        <f t="shared" si="167"/>
        <v>21</v>
      </c>
      <c r="AT149" s="122">
        <f t="shared" si="167"/>
        <v>72448</v>
      </c>
      <c r="AU149" s="122">
        <f t="shared" si="167"/>
        <v>1</v>
      </c>
      <c r="AV149" s="122">
        <f t="shared" si="167"/>
        <v>4061976</v>
      </c>
      <c r="AW149" s="122">
        <f t="shared" si="167"/>
        <v>20</v>
      </c>
      <c r="AX149" s="122">
        <f t="shared" si="167"/>
        <v>1033606</v>
      </c>
      <c r="AY149" s="122">
        <f t="shared" si="167"/>
        <v>10</v>
      </c>
      <c r="AZ149" s="122">
        <f t="shared" si="167"/>
        <v>1</v>
      </c>
      <c r="BA149" s="122">
        <v>7549754</v>
      </c>
      <c r="BB149" s="122">
        <v>39</v>
      </c>
      <c r="BC149" s="10">
        <f t="shared" si="100"/>
        <v>7549754</v>
      </c>
      <c r="BD149" s="122"/>
      <c r="BE149" s="26">
        <f t="shared" ref="BE149:BT149" si="168">SUM(BE150:BE174)</f>
        <v>0</v>
      </c>
      <c r="BF149" s="122">
        <f t="shared" si="168"/>
        <v>0</v>
      </c>
      <c r="BG149" s="122">
        <f t="shared" si="168"/>
        <v>0</v>
      </c>
      <c r="BH149" s="122">
        <f t="shared" si="168"/>
        <v>0</v>
      </c>
      <c r="BI149" s="122">
        <f t="shared" si="168"/>
        <v>0</v>
      </c>
      <c r="BJ149" s="122">
        <f t="shared" si="168"/>
        <v>0</v>
      </c>
      <c r="BK149" s="122">
        <f t="shared" si="168"/>
        <v>0</v>
      </c>
      <c r="BL149" s="122">
        <f t="shared" si="168"/>
        <v>0</v>
      </c>
      <c r="BM149" s="122">
        <f t="shared" si="168"/>
        <v>0</v>
      </c>
      <c r="BN149" s="122">
        <f t="shared" si="168"/>
        <v>0</v>
      </c>
      <c r="BO149" s="122">
        <f t="shared" si="168"/>
        <v>0</v>
      </c>
      <c r="BP149" s="122">
        <f t="shared" si="168"/>
        <v>0</v>
      </c>
      <c r="BQ149" s="122">
        <f t="shared" si="168"/>
        <v>0</v>
      </c>
      <c r="BR149" s="122">
        <f t="shared" si="168"/>
        <v>0</v>
      </c>
      <c r="BS149" s="122">
        <f t="shared" si="168"/>
        <v>0</v>
      </c>
      <c r="BT149" s="55">
        <f t="shared" si="168"/>
        <v>0</v>
      </c>
      <c r="BU149" s="29"/>
      <c r="BV149" s="29"/>
      <c r="BW149" s="29"/>
      <c r="BX149" s="29"/>
      <c r="BY149" s="29"/>
    </row>
    <row r="150" spans="1:77" s="30" customFormat="1" ht="37.5" hidden="1" customHeight="1" outlineLevel="1" x14ac:dyDescent="0.25">
      <c r="A150" s="49"/>
      <c r="B150" s="59">
        <v>1</v>
      </c>
      <c r="C150" s="13" t="s">
        <v>1473</v>
      </c>
      <c r="D150" s="13" t="s">
        <v>295</v>
      </c>
      <c r="E150" s="122" t="s">
        <v>9</v>
      </c>
      <c r="F150" s="122">
        <v>425262</v>
      </c>
      <c r="G150" s="122">
        <v>417663</v>
      </c>
      <c r="H150" s="122">
        <v>414981</v>
      </c>
      <c r="I150" s="122">
        <f t="shared" ref="I150:I151" si="169">G150-H150</f>
        <v>2682</v>
      </c>
      <c r="J150" s="122">
        <v>1</v>
      </c>
      <c r="K150" s="122">
        <v>1</v>
      </c>
      <c r="L150" s="122"/>
      <c r="M150" s="122">
        <v>187500</v>
      </c>
      <c r="N150" s="122">
        <f>AC150+AI150</f>
        <v>227481.25</v>
      </c>
      <c r="O150" s="122">
        <v>214130</v>
      </c>
      <c r="P150" s="122">
        <v>1</v>
      </c>
      <c r="Q150" s="26">
        <v>214130</v>
      </c>
      <c r="R150" s="122">
        <v>1</v>
      </c>
      <c r="S150" s="122">
        <f t="shared" si="103"/>
        <v>32145</v>
      </c>
      <c r="T150" s="122"/>
      <c r="U150" s="26">
        <f t="shared" ref="U150:V174" si="170">W150+Y150</f>
        <v>181985</v>
      </c>
      <c r="V150" s="122">
        <f t="shared" si="170"/>
        <v>1</v>
      </c>
      <c r="W150" s="122">
        <v>181985</v>
      </c>
      <c r="X150" s="122">
        <f t="shared" ref="X150:X174" si="171">IF(W150,1,0)</f>
        <v>1</v>
      </c>
      <c r="Y150" s="122"/>
      <c r="Z150" s="122">
        <f t="shared" ref="Z150:Z174" si="172">IF(Y150,1,0)</f>
        <v>0</v>
      </c>
      <c r="AA150" s="122">
        <v>0</v>
      </c>
      <c r="AB150" s="122"/>
      <c r="AC150" s="26">
        <f t="shared" si="107"/>
        <v>181985</v>
      </c>
      <c r="AD150" s="122">
        <f t="shared" si="107"/>
        <v>1</v>
      </c>
      <c r="AE150" s="122">
        <v>181985</v>
      </c>
      <c r="AF150" s="122">
        <f t="shared" ref="AF150:AF174" si="173">IF(AE150,1,0)</f>
        <v>1</v>
      </c>
      <c r="AG150" s="122"/>
      <c r="AH150" s="122">
        <f t="shared" ref="AH150:AH174" si="174">IF(AG150,1,0)</f>
        <v>0</v>
      </c>
      <c r="AI150" s="122">
        <f>AC150/0.8*0.2</f>
        <v>45496.25</v>
      </c>
      <c r="AJ150" s="122">
        <v>1</v>
      </c>
      <c r="AK150" s="122"/>
      <c r="AL150" s="122">
        <v>0</v>
      </c>
      <c r="AM150" s="122">
        <v>0</v>
      </c>
      <c r="AN150" s="122">
        <f t="shared" si="110"/>
        <v>0</v>
      </c>
      <c r="AO150" s="122"/>
      <c r="AP150" s="122">
        <f>U150-AC150</f>
        <v>0</v>
      </c>
      <c r="AQ150" s="122"/>
      <c r="AR150" s="34">
        <f t="shared" si="111"/>
        <v>0</v>
      </c>
      <c r="AS150" s="10">
        <v>0</v>
      </c>
      <c r="AT150" s="10">
        <v>0</v>
      </c>
      <c r="AU150" s="10">
        <v>0</v>
      </c>
      <c r="AV150" s="10">
        <v>0</v>
      </c>
      <c r="AW150" s="10">
        <v>0</v>
      </c>
      <c r="AX150" s="10">
        <f>AR150/0.8*0.2</f>
        <v>0</v>
      </c>
      <c r="AY150" s="10"/>
      <c r="AZ150" s="10"/>
      <c r="BA150" s="10">
        <v>0</v>
      </c>
      <c r="BB150" s="10">
        <v>0</v>
      </c>
      <c r="BC150" s="10">
        <f t="shared" si="100"/>
        <v>0</v>
      </c>
      <c r="BD150" s="10"/>
      <c r="BE150" s="26">
        <f t="shared" si="164"/>
        <v>0</v>
      </c>
      <c r="BF150" s="122">
        <f t="shared" si="164"/>
        <v>0</v>
      </c>
      <c r="BG150" s="122"/>
      <c r="BH150" s="122">
        <f t="shared" si="165"/>
        <v>0</v>
      </c>
      <c r="BI150" s="122"/>
      <c r="BJ150" s="122">
        <f t="shared" si="115"/>
        <v>0</v>
      </c>
      <c r="BK150" s="122"/>
      <c r="BL150" s="122"/>
      <c r="BM150" s="122"/>
      <c r="BN150" s="122" t="s">
        <v>907</v>
      </c>
      <c r="BO150" s="122" t="s">
        <v>1601</v>
      </c>
      <c r="BP150" s="122" t="s">
        <v>1349</v>
      </c>
      <c r="BQ150" s="122" t="s">
        <v>1350</v>
      </c>
      <c r="BR150" s="122" t="s">
        <v>1071</v>
      </c>
      <c r="BS150" s="122" t="s">
        <v>1351</v>
      </c>
      <c r="BT150" s="55" t="s">
        <v>1072</v>
      </c>
      <c r="BU150" s="29"/>
      <c r="BV150" s="29"/>
      <c r="BW150" s="29"/>
      <c r="BX150" s="29"/>
      <c r="BY150" s="29"/>
    </row>
    <row r="151" spans="1:77" s="30" customFormat="1" ht="28.5" hidden="1" customHeight="1" outlineLevel="1" x14ac:dyDescent="0.25">
      <c r="A151" s="49"/>
      <c r="B151" s="59">
        <v>2</v>
      </c>
      <c r="C151" s="13" t="s">
        <v>298</v>
      </c>
      <c r="D151" s="122" t="s">
        <v>299</v>
      </c>
      <c r="E151" s="122" t="s">
        <v>9</v>
      </c>
      <c r="F151" s="122">
        <v>712613</v>
      </c>
      <c r="G151" s="122">
        <v>710183</v>
      </c>
      <c r="H151" s="26">
        <v>687259</v>
      </c>
      <c r="I151" s="122">
        <f t="shared" si="169"/>
        <v>22924</v>
      </c>
      <c r="J151" s="122">
        <v>1</v>
      </c>
      <c r="K151" s="122">
        <v>1</v>
      </c>
      <c r="L151" s="122"/>
      <c r="M151" s="122">
        <v>87966</v>
      </c>
      <c r="N151" s="122">
        <f t="shared" ref="N151:N174" si="175">AC151+AI151</f>
        <v>599292.5</v>
      </c>
      <c r="O151" s="122">
        <v>497773</v>
      </c>
      <c r="P151" s="122">
        <v>1</v>
      </c>
      <c r="Q151" s="26">
        <v>497773</v>
      </c>
      <c r="R151" s="122">
        <v>1</v>
      </c>
      <c r="S151" s="122">
        <f t="shared" si="103"/>
        <v>18339</v>
      </c>
      <c r="T151" s="122"/>
      <c r="U151" s="26">
        <f t="shared" si="170"/>
        <v>479434</v>
      </c>
      <c r="V151" s="122">
        <f t="shared" si="170"/>
        <v>1</v>
      </c>
      <c r="W151" s="122">
        <v>479434</v>
      </c>
      <c r="X151" s="122">
        <f t="shared" si="171"/>
        <v>1</v>
      </c>
      <c r="Y151" s="122"/>
      <c r="Z151" s="122">
        <f t="shared" si="172"/>
        <v>0</v>
      </c>
      <c r="AA151" s="122">
        <v>0</v>
      </c>
      <c r="AB151" s="122"/>
      <c r="AC151" s="26">
        <f t="shared" si="107"/>
        <v>479434</v>
      </c>
      <c r="AD151" s="122">
        <f t="shared" si="107"/>
        <v>1</v>
      </c>
      <c r="AE151" s="122">
        <v>479434</v>
      </c>
      <c r="AF151" s="122">
        <f t="shared" si="173"/>
        <v>1</v>
      </c>
      <c r="AG151" s="122"/>
      <c r="AH151" s="122">
        <f t="shared" si="174"/>
        <v>0</v>
      </c>
      <c r="AI151" s="122">
        <f t="shared" ref="AI151:AI174" si="176">AC151/0.8*0.2</f>
        <v>119858.5</v>
      </c>
      <c r="AJ151" s="122">
        <v>1</v>
      </c>
      <c r="AK151" s="122"/>
      <c r="AL151" s="122">
        <v>0</v>
      </c>
      <c r="AM151" s="122">
        <v>0</v>
      </c>
      <c r="AN151" s="122">
        <f t="shared" si="110"/>
        <v>0</v>
      </c>
      <c r="AO151" s="122"/>
      <c r="AP151" s="122">
        <f t="shared" ref="AP151:AP174" si="177">U151-AC151</f>
        <v>0</v>
      </c>
      <c r="AQ151" s="122"/>
      <c r="AR151" s="34">
        <f t="shared" si="111"/>
        <v>0</v>
      </c>
      <c r="AS151" s="10">
        <f t="shared" si="111"/>
        <v>0</v>
      </c>
      <c r="AT151" s="10"/>
      <c r="AU151" s="10">
        <f t="shared" si="112"/>
        <v>0</v>
      </c>
      <c r="AV151" s="10"/>
      <c r="AW151" s="10">
        <f t="shared" si="119"/>
        <v>0</v>
      </c>
      <c r="AX151" s="10">
        <f t="shared" ref="AX151:AX174" si="178">AR151/0.8*0.2</f>
        <v>0</v>
      </c>
      <c r="AY151" s="10"/>
      <c r="AZ151" s="10"/>
      <c r="BA151" s="10">
        <v>0</v>
      </c>
      <c r="BB151" s="10">
        <v>0</v>
      </c>
      <c r="BC151" s="10">
        <f t="shared" si="100"/>
        <v>0</v>
      </c>
      <c r="BD151" s="10"/>
      <c r="BE151" s="26">
        <f t="shared" si="164"/>
        <v>0</v>
      </c>
      <c r="BF151" s="122">
        <f t="shared" si="164"/>
        <v>0</v>
      </c>
      <c r="BG151" s="122"/>
      <c r="BH151" s="122">
        <f t="shared" si="165"/>
        <v>0</v>
      </c>
      <c r="BI151" s="122"/>
      <c r="BJ151" s="122">
        <f t="shared" si="115"/>
        <v>0</v>
      </c>
      <c r="BK151" s="122"/>
      <c r="BL151" s="122"/>
      <c r="BM151" s="122"/>
      <c r="BN151" s="122" t="s">
        <v>908</v>
      </c>
      <c r="BO151" s="122" t="s">
        <v>1078</v>
      </c>
      <c r="BP151" s="122" t="s">
        <v>1077</v>
      </c>
      <c r="BQ151" s="122" t="s">
        <v>1075</v>
      </c>
      <c r="BR151" s="122" t="s">
        <v>1076</v>
      </c>
      <c r="BS151" s="122" t="s">
        <v>1074</v>
      </c>
      <c r="BT151" s="55" t="s">
        <v>1073</v>
      </c>
      <c r="BU151" s="29"/>
      <c r="BV151" s="29"/>
      <c r="BW151" s="29"/>
      <c r="BX151" s="29"/>
      <c r="BY151" s="29"/>
    </row>
    <row r="152" spans="1:77" s="30" customFormat="1" ht="45.75" hidden="1" customHeight="1" outlineLevel="1" x14ac:dyDescent="0.25">
      <c r="A152" s="49"/>
      <c r="B152" s="59">
        <v>3</v>
      </c>
      <c r="C152" s="13" t="s">
        <v>297</v>
      </c>
      <c r="D152" s="13" t="s">
        <v>1221</v>
      </c>
      <c r="E152" s="122">
        <v>2015</v>
      </c>
      <c r="F152" s="122">
        <v>207675</v>
      </c>
      <c r="G152" s="122">
        <v>202982</v>
      </c>
      <c r="H152" s="122"/>
      <c r="I152" s="122"/>
      <c r="J152" s="122"/>
      <c r="K152" s="122">
        <v>1</v>
      </c>
      <c r="L152" s="122"/>
      <c r="M152" s="122">
        <v>0</v>
      </c>
      <c r="N152" s="122">
        <f t="shared" si="175"/>
        <v>0</v>
      </c>
      <c r="O152" s="122">
        <v>162386</v>
      </c>
      <c r="P152" s="122">
        <v>1</v>
      </c>
      <c r="Q152" s="26">
        <v>162386</v>
      </c>
      <c r="R152" s="122">
        <v>1</v>
      </c>
      <c r="S152" s="122">
        <f t="shared" si="103"/>
        <v>162386</v>
      </c>
      <c r="T152" s="122"/>
      <c r="U152" s="26">
        <f t="shared" si="170"/>
        <v>162386</v>
      </c>
      <c r="V152" s="122">
        <f t="shared" si="170"/>
        <v>1</v>
      </c>
      <c r="W152" s="122"/>
      <c r="X152" s="122">
        <f t="shared" si="171"/>
        <v>0</v>
      </c>
      <c r="Y152" s="122">
        <v>162386</v>
      </c>
      <c r="Z152" s="122">
        <f t="shared" si="172"/>
        <v>1</v>
      </c>
      <c r="AA152" s="122">
        <v>-162386</v>
      </c>
      <c r="AB152" s="122"/>
      <c r="AC152" s="26">
        <f t="shared" si="107"/>
        <v>0</v>
      </c>
      <c r="AD152" s="122">
        <f t="shared" si="107"/>
        <v>0</v>
      </c>
      <c r="AE152" s="122"/>
      <c r="AF152" s="122">
        <f t="shared" si="173"/>
        <v>0</v>
      </c>
      <c r="AG152" s="122"/>
      <c r="AH152" s="122">
        <f t="shared" si="174"/>
        <v>0</v>
      </c>
      <c r="AI152" s="122">
        <f t="shared" si="176"/>
        <v>0</v>
      </c>
      <c r="AJ152" s="122">
        <v>1</v>
      </c>
      <c r="AK152" s="122"/>
      <c r="AL152" s="122">
        <v>0</v>
      </c>
      <c r="AM152" s="122">
        <v>0</v>
      </c>
      <c r="AN152" s="122">
        <f t="shared" si="110"/>
        <v>-162386</v>
      </c>
      <c r="AO152" s="122"/>
      <c r="AP152" s="122">
        <f t="shared" si="177"/>
        <v>162386</v>
      </c>
      <c r="AQ152" s="122"/>
      <c r="AR152" s="34">
        <f t="shared" si="111"/>
        <v>162386</v>
      </c>
      <c r="AS152" s="10">
        <f t="shared" si="111"/>
        <v>1</v>
      </c>
      <c r="AT152" s="10"/>
      <c r="AU152" s="10">
        <f t="shared" si="112"/>
        <v>0</v>
      </c>
      <c r="AV152" s="10">
        <f>162386</f>
        <v>162386</v>
      </c>
      <c r="AW152" s="10">
        <f t="shared" si="119"/>
        <v>1</v>
      </c>
      <c r="AX152" s="10">
        <f t="shared" si="178"/>
        <v>40596.5</v>
      </c>
      <c r="AY152" s="10"/>
      <c r="AZ152" s="10"/>
      <c r="BA152" s="10">
        <v>0</v>
      </c>
      <c r="BB152" s="10">
        <v>0</v>
      </c>
      <c r="BC152" s="10">
        <f t="shared" si="100"/>
        <v>0</v>
      </c>
      <c r="BD152" s="10"/>
      <c r="BE152" s="26">
        <f t="shared" si="164"/>
        <v>0</v>
      </c>
      <c r="BF152" s="122">
        <f t="shared" si="164"/>
        <v>0</v>
      </c>
      <c r="BG152" s="122"/>
      <c r="BH152" s="122">
        <f t="shared" si="165"/>
        <v>0</v>
      </c>
      <c r="BI152" s="122"/>
      <c r="BJ152" s="122">
        <f t="shared" si="115"/>
        <v>0</v>
      </c>
      <c r="BK152" s="122"/>
      <c r="BL152" s="122"/>
      <c r="BM152" s="122"/>
      <c r="BN152" s="122" t="s">
        <v>1222</v>
      </c>
      <c r="BO152" s="122" t="s">
        <v>1602</v>
      </c>
      <c r="BP152" s="122" t="s">
        <v>1223</v>
      </c>
      <c r="BQ152" s="122" t="s">
        <v>1224</v>
      </c>
      <c r="BR152" s="122" t="s">
        <v>1225</v>
      </c>
      <c r="BS152" s="122" t="s">
        <v>1226</v>
      </c>
      <c r="BT152" s="55" t="s">
        <v>1227</v>
      </c>
      <c r="BU152" s="29"/>
      <c r="BV152" s="29"/>
      <c r="BW152" s="29"/>
      <c r="BX152" s="29"/>
      <c r="BY152" s="29"/>
    </row>
    <row r="153" spans="1:77" s="30" customFormat="1" ht="35.25" hidden="1" customHeight="1" outlineLevel="1" x14ac:dyDescent="0.25">
      <c r="A153" s="49"/>
      <c r="B153" s="59">
        <v>4</v>
      </c>
      <c r="C153" s="13" t="s">
        <v>296</v>
      </c>
      <c r="D153" s="13" t="s">
        <v>1256</v>
      </c>
      <c r="E153" s="122">
        <v>2015</v>
      </c>
      <c r="F153" s="122">
        <v>185183</v>
      </c>
      <c r="G153" s="122">
        <v>181983</v>
      </c>
      <c r="H153" s="122"/>
      <c r="I153" s="122"/>
      <c r="J153" s="122"/>
      <c r="K153" s="122">
        <v>1</v>
      </c>
      <c r="L153" s="122"/>
      <c r="M153" s="122">
        <v>0</v>
      </c>
      <c r="N153" s="122">
        <f t="shared" si="175"/>
        <v>0</v>
      </c>
      <c r="O153" s="122">
        <v>145586</v>
      </c>
      <c r="P153" s="122">
        <v>1</v>
      </c>
      <c r="Q153" s="26">
        <v>145586</v>
      </c>
      <c r="R153" s="122">
        <v>1</v>
      </c>
      <c r="S153" s="122">
        <f t="shared" si="103"/>
        <v>145586</v>
      </c>
      <c r="T153" s="122"/>
      <c r="U153" s="26">
        <f t="shared" si="170"/>
        <v>145586</v>
      </c>
      <c r="V153" s="122">
        <f t="shared" si="170"/>
        <v>1</v>
      </c>
      <c r="W153" s="41"/>
      <c r="X153" s="122">
        <f t="shared" si="171"/>
        <v>0</v>
      </c>
      <c r="Y153" s="122">
        <v>145586</v>
      </c>
      <c r="Z153" s="122">
        <f t="shared" si="172"/>
        <v>1</v>
      </c>
      <c r="AA153" s="122">
        <v>-145586</v>
      </c>
      <c r="AB153" s="122"/>
      <c r="AC153" s="26">
        <f t="shared" si="107"/>
        <v>0</v>
      </c>
      <c r="AD153" s="122">
        <f t="shared" si="107"/>
        <v>0</v>
      </c>
      <c r="AE153" s="41"/>
      <c r="AF153" s="122">
        <f t="shared" si="173"/>
        <v>0</v>
      </c>
      <c r="AG153" s="122"/>
      <c r="AH153" s="122">
        <f t="shared" si="174"/>
        <v>0</v>
      </c>
      <c r="AI153" s="122">
        <f t="shared" si="176"/>
        <v>0</v>
      </c>
      <c r="AJ153" s="122">
        <v>1</v>
      </c>
      <c r="AK153" s="122"/>
      <c r="AL153" s="122">
        <v>0</v>
      </c>
      <c r="AM153" s="122">
        <v>0</v>
      </c>
      <c r="AN153" s="122">
        <f t="shared" si="110"/>
        <v>-145586</v>
      </c>
      <c r="AO153" s="122"/>
      <c r="AP153" s="122">
        <f t="shared" si="177"/>
        <v>145586</v>
      </c>
      <c r="AQ153" s="122"/>
      <c r="AR153" s="34">
        <f t="shared" si="111"/>
        <v>145586</v>
      </c>
      <c r="AS153" s="10">
        <f t="shared" si="111"/>
        <v>1</v>
      </c>
      <c r="AT153" s="10"/>
      <c r="AU153" s="10">
        <f t="shared" si="112"/>
        <v>0</v>
      </c>
      <c r="AV153" s="10">
        <f>145586</f>
        <v>145586</v>
      </c>
      <c r="AW153" s="10">
        <f t="shared" si="119"/>
        <v>1</v>
      </c>
      <c r="AX153" s="10">
        <f t="shared" si="178"/>
        <v>36396.5</v>
      </c>
      <c r="AY153" s="10"/>
      <c r="AZ153" s="10"/>
      <c r="BA153" s="10">
        <v>0</v>
      </c>
      <c r="BB153" s="10">
        <v>0</v>
      </c>
      <c r="BC153" s="10">
        <f t="shared" si="100"/>
        <v>0</v>
      </c>
      <c r="BD153" s="10"/>
      <c r="BE153" s="26">
        <f t="shared" si="164"/>
        <v>0</v>
      </c>
      <c r="BF153" s="122">
        <f t="shared" si="164"/>
        <v>0</v>
      </c>
      <c r="BG153" s="122"/>
      <c r="BH153" s="122">
        <f t="shared" si="165"/>
        <v>0</v>
      </c>
      <c r="BI153" s="122"/>
      <c r="BJ153" s="122">
        <f t="shared" si="115"/>
        <v>0</v>
      </c>
      <c r="BK153" s="122"/>
      <c r="BL153" s="122"/>
      <c r="BM153" s="122"/>
      <c r="BN153" s="41" t="s">
        <v>1210</v>
      </c>
      <c r="BO153" s="122" t="s">
        <v>1603</v>
      </c>
      <c r="BP153" s="122" t="s">
        <v>1211</v>
      </c>
      <c r="BQ153" s="122" t="s">
        <v>1212</v>
      </c>
      <c r="BR153" s="122" t="s">
        <v>1213</v>
      </c>
      <c r="BS153" s="122" t="s">
        <v>1214</v>
      </c>
      <c r="BT153" s="55" t="s">
        <v>1215</v>
      </c>
      <c r="BU153" s="29"/>
      <c r="BV153" s="29"/>
      <c r="BW153" s="29"/>
      <c r="BX153" s="29"/>
      <c r="BY153" s="29"/>
    </row>
    <row r="154" spans="1:77" s="30" customFormat="1" ht="42.75" hidden="1" customHeight="1" outlineLevel="1" x14ac:dyDescent="0.25">
      <c r="A154" s="49"/>
      <c r="B154" s="59">
        <v>5</v>
      </c>
      <c r="C154" s="122" t="s">
        <v>61</v>
      </c>
      <c r="D154" s="122" t="s">
        <v>62</v>
      </c>
      <c r="E154" s="122">
        <v>2015</v>
      </c>
      <c r="F154" s="122">
        <v>255299</v>
      </c>
      <c r="G154" s="122">
        <v>252299</v>
      </c>
      <c r="H154" s="122"/>
      <c r="I154" s="122"/>
      <c r="J154" s="122"/>
      <c r="K154" s="122"/>
      <c r="L154" s="122"/>
      <c r="M154" s="122">
        <v>0</v>
      </c>
      <c r="N154" s="122">
        <f t="shared" si="175"/>
        <v>0</v>
      </c>
      <c r="O154" s="122">
        <v>201839</v>
      </c>
      <c r="P154" s="122">
        <v>1</v>
      </c>
      <c r="Q154" s="26">
        <v>201839</v>
      </c>
      <c r="R154" s="122">
        <v>1</v>
      </c>
      <c r="S154" s="122">
        <f t="shared" si="103"/>
        <v>201839</v>
      </c>
      <c r="T154" s="122"/>
      <c r="U154" s="26">
        <f t="shared" si="170"/>
        <v>201839</v>
      </c>
      <c r="V154" s="122">
        <f t="shared" si="170"/>
        <v>1</v>
      </c>
      <c r="W154" s="41"/>
      <c r="X154" s="122">
        <f t="shared" si="171"/>
        <v>0</v>
      </c>
      <c r="Y154" s="122">
        <v>201839</v>
      </c>
      <c r="Z154" s="122">
        <f t="shared" si="172"/>
        <v>1</v>
      </c>
      <c r="AA154" s="122">
        <v>-201839</v>
      </c>
      <c r="AB154" s="122"/>
      <c r="AC154" s="26">
        <f t="shared" si="107"/>
        <v>0</v>
      </c>
      <c r="AD154" s="122">
        <f t="shared" si="107"/>
        <v>0</v>
      </c>
      <c r="AE154" s="41"/>
      <c r="AF154" s="122">
        <f t="shared" si="173"/>
        <v>0</v>
      </c>
      <c r="AG154" s="122"/>
      <c r="AH154" s="122">
        <f t="shared" si="174"/>
        <v>0</v>
      </c>
      <c r="AI154" s="122">
        <f t="shared" si="176"/>
        <v>0</v>
      </c>
      <c r="AJ154" s="122">
        <v>1</v>
      </c>
      <c r="AK154" s="122"/>
      <c r="AL154" s="122">
        <v>0</v>
      </c>
      <c r="AM154" s="122">
        <v>0</v>
      </c>
      <c r="AN154" s="122">
        <f t="shared" si="110"/>
        <v>-201839</v>
      </c>
      <c r="AO154" s="122"/>
      <c r="AP154" s="122">
        <f t="shared" si="177"/>
        <v>201839</v>
      </c>
      <c r="AQ154" s="122"/>
      <c r="AR154" s="34">
        <f t="shared" si="111"/>
        <v>201839</v>
      </c>
      <c r="AS154" s="10">
        <f t="shared" si="111"/>
        <v>1</v>
      </c>
      <c r="AT154" s="10"/>
      <c r="AU154" s="10">
        <f t="shared" si="112"/>
        <v>0</v>
      </c>
      <c r="AV154" s="10">
        <f>201839</f>
        <v>201839</v>
      </c>
      <c r="AW154" s="10">
        <f t="shared" si="119"/>
        <v>1</v>
      </c>
      <c r="AX154" s="10">
        <f t="shared" si="178"/>
        <v>50459.75</v>
      </c>
      <c r="AY154" s="10"/>
      <c r="AZ154" s="10"/>
      <c r="BA154" s="10">
        <v>0</v>
      </c>
      <c r="BB154" s="10">
        <v>0</v>
      </c>
      <c r="BC154" s="10">
        <f t="shared" si="100"/>
        <v>0</v>
      </c>
      <c r="BD154" s="10"/>
      <c r="BE154" s="26">
        <f t="shared" si="164"/>
        <v>0</v>
      </c>
      <c r="BF154" s="122">
        <f t="shared" si="164"/>
        <v>0</v>
      </c>
      <c r="BG154" s="122"/>
      <c r="BH154" s="122">
        <f t="shared" si="165"/>
        <v>0</v>
      </c>
      <c r="BI154" s="122"/>
      <c r="BJ154" s="122">
        <f t="shared" si="115"/>
        <v>0</v>
      </c>
      <c r="BK154" s="122"/>
      <c r="BL154" s="122"/>
      <c r="BM154" s="122"/>
      <c r="BN154" s="122" t="s">
        <v>63</v>
      </c>
      <c r="BO154" s="122" t="s">
        <v>1604</v>
      </c>
      <c r="BP154" s="122" t="s">
        <v>1112</v>
      </c>
      <c r="BQ154" s="122" t="s">
        <v>976</v>
      </c>
      <c r="BR154" s="122" t="s">
        <v>1111</v>
      </c>
      <c r="BS154" s="122" t="s">
        <v>1605</v>
      </c>
      <c r="BT154" s="55" t="s">
        <v>975</v>
      </c>
      <c r="BU154" s="29"/>
      <c r="BV154" s="29"/>
      <c r="BW154" s="29"/>
      <c r="BX154" s="29"/>
      <c r="BY154" s="29"/>
    </row>
    <row r="155" spans="1:77" s="30" customFormat="1" ht="25.5" hidden="1" customHeight="1" outlineLevel="1" x14ac:dyDescent="0.25">
      <c r="A155" s="49"/>
      <c r="B155" s="59">
        <v>6</v>
      </c>
      <c r="C155" s="122" t="s">
        <v>64</v>
      </c>
      <c r="D155" s="122" t="s">
        <v>65</v>
      </c>
      <c r="E155" s="122" t="s">
        <v>10</v>
      </c>
      <c r="F155" s="122">
        <v>315781</v>
      </c>
      <c r="G155" s="122">
        <v>312862.09999999998</v>
      </c>
      <c r="H155" s="122"/>
      <c r="I155" s="122"/>
      <c r="J155" s="122"/>
      <c r="K155" s="122"/>
      <c r="L155" s="122"/>
      <c r="M155" s="122">
        <v>0</v>
      </c>
      <c r="N155" s="122">
        <f t="shared" si="175"/>
        <v>0</v>
      </c>
      <c r="O155" s="122">
        <v>250290</v>
      </c>
      <c r="P155" s="122">
        <v>1</v>
      </c>
      <c r="Q155" s="26">
        <v>80000</v>
      </c>
      <c r="R155" s="122">
        <v>1</v>
      </c>
      <c r="S155" s="122">
        <f t="shared" si="103"/>
        <v>80000</v>
      </c>
      <c r="T155" s="122"/>
      <c r="U155" s="26">
        <v>80000</v>
      </c>
      <c r="V155" s="122">
        <f t="shared" si="170"/>
        <v>1</v>
      </c>
      <c r="W155" s="41"/>
      <c r="X155" s="122">
        <f t="shared" si="171"/>
        <v>0</v>
      </c>
      <c r="Y155" s="122">
        <v>80000</v>
      </c>
      <c r="Z155" s="122">
        <f t="shared" si="172"/>
        <v>1</v>
      </c>
      <c r="AA155" s="122">
        <v>-80000</v>
      </c>
      <c r="AB155" s="122"/>
      <c r="AC155" s="26">
        <f t="shared" si="107"/>
        <v>0</v>
      </c>
      <c r="AD155" s="122">
        <f t="shared" si="107"/>
        <v>0</v>
      </c>
      <c r="AE155" s="41"/>
      <c r="AF155" s="122">
        <f t="shared" si="173"/>
        <v>0</v>
      </c>
      <c r="AG155" s="122"/>
      <c r="AH155" s="122">
        <f t="shared" si="174"/>
        <v>0</v>
      </c>
      <c r="AI155" s="122">
        <f t="shared" si="176"/>
        <v>0</v>
      </c>
      <c r="AJ155" s="122"/>
      <c r="AK155" s="122">
        <v>1</v>
      </c>
      <c r="AL155" s="122">
        <v>170290</v>
      </c>
      <c r="AM155" s="122">
        <v>1</v>
      </c>
      <c r="AN155" s="122">
        <f t="shared" si="110"/>
        <v>-80000</v>
      </c>
      <c r="AO155" s="122"/>
      <c r="AP155" s="122">
        <f t="shared" si="177"/>
        <v>80000</v>
      </c>
      <c r="AQ155" s="122"/>
      <c r="AR155" s="34">
        <f t="shared" ref="AR155:AS174" si="179">AT155+AV155</f>
        <v>250290</v>
      </c>
      <c r="AS155" s="10">
        <f t="shared" si="179"/>
        <v>1</v>
      </c>
      <c r="AT155" s="10"/>
      <c r="AU155" s="10">
        <f t="shared" si="112"/>
        <v>0</v>
      </c>
      <c r="AV155" s="10">
        <f>250290</f>
        <v>250290</v>
      </c>
      <c r="AW155" s="10">
        <f t="shared" si="119"/>
        <v>1</v>
      </c>
      <c r="AX155" s="10">
        <f t="shared" si="178"/>
        <v>62572.5</v>
      </c>
      <c r="AY155" s="10">
        <v>1</v>
      </c>
      <c r="AZ155" s="10"/>
      <c r="BA155" s="10">
        <v>0</v>
      </c>
      <c r="BB155" s="10">
        <v>0</v>
      </c>
      <c r="BC155" s="10">
        <f t="shared" si="100"/>
        <v>0</v>
      </c>
      <c r="BD155" s="10"/>
      <c r="BE155" s="26">
        <f t="shared" si="164"/>
        <v>0</v>
      </c>
      <c r="BF155" s="122">
        <f t="shared" si="164"/>
        <v>0</v>
      </c>
      <c r="BG155" s="122"/>
      <c r="BH155" s="122">
        <f t="shared" si="165"/>
        <v>0</v>
      </c>
      <c r="BI155" s="122"/>
      <c r="BJ155" s="122">
        <f t="shared" si="115"/>
        <v>0</v>
      </c>
      <c r="BK155" s="122"/>
      <c r="BL155" s="122"/>
      <c r="BM155" s="122"/>
      <c r="BN155" s="122" t="s">
        <v>66</v>
      </c>
      <c r="BO155" s="122" t="s">
        <v>1606</v>
      </c>
      <c r="BP155" s="122" t="s">
        <v>69</v>
      </c>
      <c r="BQ155" s="122" t="s">
        <v>67</v>
      </c>
      <c r="BR155" s="122" t="s">
        <v>68</v>
      </c>
      <c r="BS155" s="122" t="s">
        <v>1607</v>
      </c>
      <c r="BT155" s="55" t="s">
        <v>977</v>
      </c>
      <c r="BU155" s="29"/>
      <c r="BV155" s="29"/>
      <c r="BW155" s="29"/>
      <c r="BX155" s="29"/>
      <c r="BY155" s="29"/>
    </row>
    <row r="156" spans="1:77" s="30" customFormat="1" ht="37.5" hidden="1" customHeight="1" outlineLevel="1" x14ac:dyDescent="0.25">
      <c r="A156" s="49"/>
      <c r="B156" s="59">
        <v>7</v>
      </c>
      <c r="C156" s="122" t="s">
        <v>70</v>
      </c>
      <c r="D156" s="122" t="s">
        <v>71</v>
      </c>
      <c r="E156" s="122" t="s">
        <v>324</v>
      </c>
      <c r="F156" s="122">
        <v>246255</v>
      </c>
      <c r="G156" s="122">
        <v>242775</v>
      </c>
      <c r="H156" s="122"/>
      <c r="I156" s="122"/>
      <c r="J156" s="122"/>
      <c r="K156" s="122">
        <v>1</v>
      </c>
      <c r="L156" s="122">
        <v>1</v>
      </c>
      <c r="M156" s="122">
        <v>0</v>
      </c>
      <c r="N156" s="122">
        <f t="shared" si="175"/>
        <v>0</v>
      </c>
      <c r="O156" s="122">
        <v>194220</v>
      </c>
      <c r="P156" s="122">
        <v>1</v>
      </c>
      <c r="Q156" s="26">
        <v>194220</v>
      </c>
      <c r="R156" s="122">
        <v>1</v>
      </c>
      <c r="S156" s="122">
        <f t="shared" si="103"/>
        <v>194220</v>
      </c>
      <c r="T156" s="122"/>
      <c r="U156" s="26">
        <f t="shared" ref="U156:U174" si="180">W156+Y156</f>
        <v>194220</v>
      </c>
      <c r="V156" s="122">
        <f t="shared" si="170"/>
        <v>1</v>
      </c>
      <c r="W156" s="41"/>
      <c r="X156" s="122">
        <f t="shared" si="171"/>
        <v>0</v>
      </c>
      <c r="Y156" s="122">
        <v>194220</v>
      </c>
      <c r="Z156" s="122">
        <f t="shared" si="172"/>
        <v>1</v>
      </c>
      <c r="AA156" s="122">
        <v>-194220</v>
      </c>
      <c r="AB156" s="122"/>
      <c r="AC156" s="26">
        <f t="shared" ref="AC156:AD174" si="181">AE156+AG156</f>
        <v>0</v>
      </c>
      <c r="AD156" s="122">
        <f t="shared" si="181"/>
        <v>0</v>
      </c>
      <c r="AE156" s="41"/>
      <c r="AF156" s="122">
        <f t="shared" si="173"/>
        <v>0</v>
      </c>
      <c r="AG156" s="122"/>
      <c r="AH156" s="122">
        <f t="shared" si="174"/>
        <v>0</v>
      </c>
      <c r="AI156" s="122">
        <f t="shared" si="176"/>
        <v>0</v>
      </c>
      <c r="AJ156" s="122">
        <v>1</v>
      </c>
      <c r="AK156" s="122"/>
      <c r="AL156" s="122">
        <v>0</v>
      </c>
      <c r="AM156" s="122">
        <v>0</v>
      </c>
      <c r="AN156" s="122">
        <f t="shared" si="110"/>
        <v>-72448</v>
      </c>
      <c r="AO156" s="122"/>
      <c r="AP156" s="122">
        <f t="shared" si="177"/>
        <v>194220</v>
      </c>
      <c r="AQ156" s="122"/>
      <c r="AR156" s="34">
        <f t="shared" si="179"/>
        <v>72448</v>
      </c>
      <c r="AS156" s="10">
        <f t="shared" si="179"/>
        <v>1</v>
      </c>
      <c r="AT156" s="10">
        <f>194220-121772</f>
        <v>72448</v>
      </c>
      <c r="AU156" s="10">
        <f t="shared" si="112"/>
        <v>1</v>
      </c>
      <c r="AV156" s="10"/>
      <c r="AW156" s="10">
        <f t="shared" si="119"/>
        <v>0</v>
      </c>
      <c r="AX156" s="10">
        <f t="shared" si="178"/>
        <v>18112</v>
      </c>
      <c r="AY156" s="10"/>
      <c r="AZ156" s="10"/>
      <c r="BA156" s="10">
        <v>0</v>
      </c>
      <c r="BB156" s="10">
        <v>0</v>
      </c>
      <c r="BC156" s="10">
        <f t="shared" si="100"/>
        <v>0</v>
      </c>
      <c r="BD156" s="10"/>
      <c r="BE156" s="26">
        <f t="shared" si="164"/>
        <v>0</v>
      </c>
      <c r="BF156" s="122">
        <f t="shared" si="164"/>
        <v>0</v>
      </c>
      <c r="BG156" s="122"/>
      <c r="BH156" s="122">
        <f t="shared" si="165"/>
        <v>0</v>
      </c>
      <c r="BI156" s="122"/>
      <c r="BJ156" s="122">
        <f t="shared" si="115"/>
        <v>0</v>
      </c>
      <c r="BK156" s="122"/>
      <c r="BL156" s="122"/>
      <c r="BM156" s="122"/>
      <c r="BN156" s="122" t="s">
        <v>76</v>
      </c>
      <c r="BO156" s="122" t="s">
        <v>1608</v>
      </c>
      <c r="BP156" s="122" t="s">
        <v>72</v>
      </c>
      <c r="BQ156" s="122" t="s">
        <v>75</v>
      </c>
      <c r="BR156" s="122" t="s">
        <v>74</v>
      </c>
      <c r="BS156" s="122" t="s">
        <v>73</v>
      </c>
      <c r="BT156" s="55" t="s">
        <v>978</v>
      </c>
      <c r="BU156" s="29"/>
      <c r="BV156" s="29"/>
      <c r="BW156" s="29"/>
      <c r="BX156" s="29"/>
      <c r="BY156" s="29"/>
    </row>
    <row r="157" spans="1:77" s="30" customFormat="1" ht="33" hidden="1" customHeight="1" outlineLevel="1" x14ac:dyDescent="0.25">
      <c r="A157" s="49"/>
      <c r="B157" s="59">
        <v>8</v>
      </c>
      <c r="C157" s="122" t="s">
        <v>77</v>
      </c>
      <c r="D157" s="122" t="s">
        <v>78</v>
      </c>
      <c r="E157" s="122" t="s">
        <v>10</v>
      </c>
      <c r="F157" s="122">
        <v>497936.5</v>
      </c>
      <c r="G157" s="122">
        <v>493436</v>
      </c>
      <c r="H157" s="122"/>
      <c r="I157" s="122"/>
      <c r="J157" s="122"/>
      <c r="K157" s="122"/>
      <c r="L157" s="122"/>
      <c r="M157" s="122">
        <v>0</v>
      </c>
      <c r="N157" s="122">
        <f t="shared" si="175"/>
        <v>0</v>
      </c>
      <c r="O157" s="122">
        <v>394749</v>
      </c>
      <c r="P157" s="122">
        <v>1</v>
      </c>
      <c r="Q157" s="26">
        <v>70000</v>
      </c>
      <c r="R157" s="122">
        <v>1</v>
      </c>
      <c r="S157" s="122">
        <f t="shared" si="103"/>
        <v>70000</v>
      </c>
      <c r="T157" s="122"/>
      <c r="U157" s="26">
        <f t="shared" si="180"/>
        <v>100000</v>
      </c>
      <c r="V157" s="122">
        <f t="shared" si="170"/>
        <v>1</v>
      </c>
      <c r="W157" s="41"/>
      <c r="X157" s="122">
        <f t="shared" si="171"/>
        <v>0</v>
      </c>
      <c r="Y157" s="122">
        <v>100000</v>
      </c>
      <c r="Z157" s="122">
        <f t="shared" si="172"/>
        <v>1</v>
      </c>
      <c r="AA157" s="122">
        <v>-100000</v>
      </c>
      <c r="AB157" s="122"/>
      <c r="AC157" s="26">
        <f t="shared" si="181"/>
        <v>0</v>
      </c>
      <c r="AD157" s="122">
        <f t="shared" si="181"/>
        <v>0</v>
      </c>
      <c r="AE157" s="41"/>
      <c r="AF157" s="122">
        <f t="shared" si="173"/>
        <v>0</v>
      </c>
      <c r="AG157" s="122"/>
      <c r="AH157" s="122">
        <f t="shared" si="174"/>
        <v>0</v>
      </c>
      <c r="AI157" s="122">
        <f t="shared" si="176"/>
        <v>0</v>
      </c>
      <c r="AJ157" s="122"/>
      <c r="AK157" s="122">
        <v>1</v>
      </c>
      <c r="AL157" s="122">
        <v>324749</v>
      </c>
      <c r="AM157" s="122">
        <v>1</v>
      </c>
      <c r="AN157" s="122">
        <f t="shared" si="110"/>
        <v>-99970</v>
      </c>
      <c r="AO157" s="122"/>
      <c r="AP157" s="122">
        <f t="shared" si="177"/>
        <v>100000</v>
      </c>
      <c r="AQ157" s="122"/>
      <c r="AR157" s="34">
        <f t="shared" si="179"/>
        <v>424719</v>
      </c>
      <c r="AS157" s="10">
        <f t="shared" si="179"/>
        <v>1</v>
      </c>
      <c r="AT157" s="10"/>
      <c r="AU157" s="10">
        <f t="shared" si="112"/>
        <v>0</v>
      </c>
      <c r="AV157" s="10">
        <f>324719+100000</f>
        <v>424719</v>
      </c>
      <c r="AW157" s="10">
        <f t="shared" si="119"/>
        <v>1</v>
      </c>
      <c r="AX157" s="10">
        <f t="shared" si="178"/>
        <v>106179.75</v>
      </c>
      <c r="AY157" s="10">
        <v>1</v>
      </c>
      <c r="AZ157" s="10"/>
      <c r="BA157" s="10">
        <v>0</v>
      </c>
      <c r="BB157" s="10">
        <v>0</v>
      </c>
      <c r="BC157" s="10">
        <f t="shared" si="100"/>
        <v>0</v>
      </c>
      <c r="BD157" s="10"/>
      <c r="BE157" s="26">
        <f t="shared" si="164"/>
        <v>0</v>
      </c>
      <c r="BF157" s="122">
        <f t="shared" si="164"/>
        <v>0</v>
      </c>
      <c r="BG157" s="122"/>
      <c r="BH157" s="122">
        <f t="shared" si="165"/>
        <v>0</v>
      </c>
      <c r="BI157" s="122"/>
      <c r="BJ157" s="122">
        <f t="shared" si="115"/>
        <v>0</v>
      </c>
      <c r="BK157" s="122"/>
      <c r="BL157" s="122"/>
      <c r="BM157" s="122"/>
      <c r="BN157" s="122" t="s">
        <v>80</v>
      </c>
      <c r="BO157" s="122" t="s">
        <v>1609</v>
      </c>
      <c r="BP157" s="122" t="s">
        <v>79</v>
      </c>
      <c r="BQ157" s="122" t="s">
        <v>81</v>
      </c>
      <c r="BR157" s="122" t="s">
        <v>82</v>
      </c>
      <c r="BS157" s="122" t="s">
        <v>1610</v>
      </c>
      <c r="BT157" s="55" t="s">
        <v>979</v>
      </c>
      <c r="BU157" s="29"/>
      <c r="BV157" s="29"/>
      <c r="BW157" s="29"/>
      <c r="BX157" s="29"/>
      <c r="BY157" s="29"/>
    </row>
    <row r="158" spans="1:77" s="30" customFormat="1" ht="33" hidden="1" customHeight="1" outlineLevel="1" x14ac:dyDescent="0.25">
      <c r="A158" s="49"/>
      <c r="B158" s="59">
        <v>9</v>
      </c>
      <c r="C158" s="122" t="s">
        <v>83</v>
      </c>
      <c r="D158" s="122" t="s">
        <v>84</v>
      </c>
      <c r="E158" s="122" t="s">
        <v>10</v>
      </c>
      <c r="F158" s="122">
        <v>314398</v>
      </c>
      <c r="G158" s="122">
        <v>310107.90000000002</v>
      </c>
      <c r="H158" s="122"/>
      <c r="I158" s="122"/>
      <c r="J158" s="122"/>
      <c r="K158" s="122"/>
      <c r="L158" s="122"/>
      <c r="M158" s="122">
        <v>0</v>
      </c>
      <c r="N158" s="122">
        <f t="shared" si="175"/>
        <v>0</v>
      </c>
      <c r="O158" s="122">
        <v>248086</v>
      </c>
      <c r="P158" s="122">
        <v>1</v>
      </c>
      <c r="Q158" s="26">
        <v>60000</v>
      </c>
      <c r="R158" s="122">
        <v>1</v>
      </c>
      <c r="S158" s="122">
        <f t="shared" si="103"/>
        <v>60000</v>
      </c>
      <c r="T158" s="122"/>
      <c r="U158" s="26">
        <f t="shared" si="180"/>
        <v>81671</v>
      </c>
      <c r="V158" s="122">
        <f t="shared" si="170"/>
        <v>1</v>
      </c>
      <c r="W158" s="122"/>
      <c r="X158" s="122">
        <f t="shared" si="171"/>
        <v>0</v>
      </c>
      <c r="Y158" s="122">
        <f>60000+53671-32000</f>
        <v>81671</v>
      </c>
      <c r="Z158" s="122">
        <f t="shared" si="172"/>
        <v>1</v>
      </c>
      <c r="AA158" s="122">
        <v>-81671</v>
      </c>
      <c r="AB158" s="122"/>
      <c r="AC158" s="26">
        <f t="shared" si="181"/>
        <v>0</v>
      </c>
      <c r="AD158" s="122">
        <f t="shared" si="181"/>
        <v>0</v>
      </c>
      <c r="AE158" s="122"/>
      <c r="AF158" s="122">
        <f t="shared" si="173"/>
        <v>0</v>
      </c>
      <c r="AG158" s="122"/>
      <c r="AH158" s="122">
        <f t="shared" si="174"/>
        <v>0</v>
      </c>
      <c r="AI158" s="122">
        <f t="shared" si="176"/>
        <v>0</v>
      </c>
      <c r="AJ158" s="122"/>
      <c r="AK158" s="122">
        <v>1</v>
      </c>
      <c r="AL158" s="122">
        <v>188086</v>
      </c>
      <c r="AM158" s="122">
        <v>1</v>
      </c>
      <c r="AN158" s="122">
        <f t="shared" si="110"/>
        <v>-60000</v>
      </c>
      <c r="AO158" s="122"/>
      <c r="AP158" s="122">
        <f t="shared" si="177"/>
        <v>81671</v>
      </c>
      <c r="AQ158" s="122"/>
      <c r="AR158" s="34">
        <f t="shared" si="179"/>
        <v>248086</v>
      </c>
      <c r="AS158" s="10">
        <f t="shared" si="179"/>
        <v>1</v>
      </c>
      <c r="AT158" s="10"/>
      <c r="AU158" s="10">
        <f t="shared" si="112"/>
        <v>0</v>
      </c>
      <c r="AV158" s="10">
        <f>198086+50000</f>
        <v>248086</v>
      </c>
      <c r="AW158" s="10">
        <f t="shared" si="119"/>
        <v>1</v>
      </c>
      <c r="AX158" s="10">
        <f t="shared" si="178"/>
        <v>62021.5</v>
      </c>
      <c r="AY158" s="10">
        <v>1</v>
      </c>
      <c r="AZ158" s="10"/>
      <c r="BA158" s="10">
        <v>0</v>
      </c>
      <c r="BB158" s="10">
        <v>0</v>
      </c>
      <c r="BC158" s="10">
        <f t="shared" si="100"/>
        <v>0</v>
      </c>
      <c r="BD158" s="10"/>
      <c r="BE158" s="26">
        <f t="shared" si="164"/>
        <v>0</v>
      </c>
      <c r="BF158" s="122">
        <f t="shared" si="164"/>
        <v>0</v>
      </c>
      <c r="BG158" s="122"/>
      <c r="BH158" s="122">
        <f t="shared" si="165"/>
        <v>0</v>
      </c>
      <c r="BI158" s="122"/>
      <c r="BJ158" s="122">
        <f t="shared" si="115"/>
        <v>0</v>
      </c>
      <c r="BK158" s="122"/>
      <c r="BL158" s="122"/>
      <c r="BM158" s="122"/>
      <c r="BN158" s="122" t="s">
        <v>86</v>
      </c>
      <c r="BO158" s="122" t="s">
        <v>1611</v>
      </c>
      <c r="BP158" s="122" t="s">
        <v>85</v>
      </c>
      <c r="BQ158" s="122" t="s">
        <v>67</v>
      </c>
      <c r="BR158" s="122" t="s">
        <v>87</v>
      </c>
      <c r="BS158" s="122" t="s">
        <v>1612</v>
      </c>
      <c r="BT158" s="55" t="s">
        <v>1353</v>
      </c>
      <c r="BU158" s="29"/>
      <c r="BV158" s="29"/>
      <c r="BW158" s="29"/>
      <c r="BX158" s="29"/>
      <c r="BY158" s="29"/>
    </row>
    <row r="159" spans="1:77" s="30" customFormat="1" ht="34.5" hidden="1" customHeight="1" outlineLevel="1" x14ac:dyDescent="0.25">
      <c r="A159" s="49"/>
      <c r="B159" s="59">
        <v>10</v>
      </c>
      <c r="C159" s="122" t="s">
        <v>88</v>
      </c>
      <c r="D159" s="122" t="s">
        <v>89</v>
      </c>
      <c r="E159" s="122" t="s">
        <v>324</v>
      </c>
      <c r="F159" s="122">
        <v>157742</v>
      </c>
      <c r="G159" s="122">
        <v>155733.23000000001</v>
      </c>
      <c r="H159" s="122"/>
      <c r="I159" s="122"/>
      <c r="J159" s="122"/>
      <c r="K159" s="122">
        <v>1</v>
      </c>
      <c r="L159" s="122"/>
      <c r="M159" s="122">
        <v>0</v>
      </c>
      <c r="N159" s="122">
        <f t="shared" si="175"/>
        <v>0</v>
      </c>
      <c r="O159" s="122">
        <v>124586</v>
      </c>
      <c r="P159" s="122">
        <v>1</v>
      </c>
      <c r="Q159" s="26">
        <v>124586</v>
      </c>
      <c r="R159" s="122">
        <v>1</v>
      </c>
      <c r="S159" s="122">
        <f t="shared" si="103"/>
        <v>124586</v>
      </c>
      <c r="T159" s="122"/>
      <c r="U159" s="26">
        <f t="shared" si="180"/>
        <v>124586</v>
      </c>
      <c r="V159" s="122">
        <f t="shared" si="170"/>
        <v>1</v>
      </c>
      <c r="W159" s="122"/>
      <c r="X159" s="122">
        <f t="shared" si="171"/>
        <v>0</v>
      </c>
      <c r="Y159" s="122">
        <v>124586</v>
      </c>
      <c r="Z159" s="122">
        <f t="shared" si="172"/>
        <v>1</v>
      </c>
      <c r="AA159" s="122">
        <v>-124586</v>
      </c>
      <c r="AB159" s="122"/>
      <c r="AC159" s="26">
        <f t="shared" si="181"/>
        <v>0</v>
      </c>
      <c r="AD159" s="122">
        <f t="shared" si="181"/>
        <v>0</v>
      </c>
      <c r="AE159" s="122"/>
      <c r="AF159" s="122">
        <f t="shared" si="173"/>
        <v>0</v>
      </c>
      <c r="AG159" s="122"/>
      <c r="AH159" s="122">
        <f t="shared" si="174"/>
        <v>0</v>
      </c>
      <c r="AI159" s="122">
        <f t="shared" si="176"/>
        <v>0</v>
      </c>
      <c r="AJ159" s="122">
        <v>1</v>
      </c>
      <c r="AK159" s="122"/>
      <c r="AL159" s="122">
        <v>0</v>
      </c>
      <c r="AM159" s="122">
        <v>0</v>
      </c>
      <c r="AN159" s="122">
        <f t="shared" si="110"/>
        <v>-124586</v>
      </c>
      <c r="AO159" s="122"/>
      <c r="AP159" s="122">
        <f t="shared" si="177"/>
        <v>124586</v>
      </c>
      <c r="AQ159" s="122"/>
      <c r="AR159" s="34">
        <f t="shared" si="179"/>
        <v>124586</v>
      </c>
      <c r="AS159" s="10">
        <f t="shared" si="179"/>
        <v>1</v>
      </c>
      <c r="AT159" s="10"/>
      <c r="AU159" s="10">
        <f t="shared" si="112"/>
        <v>0</v>
      </c>
      <c r="AV159" s="10">
        <f>124586</f>
        <v>124586</v>
      </c>
      <c r="AW159" s="10">
        <f t="shared" si="119"/>
        <v>1</v>
      </c>
      <c r="AX159" s="10">
        <f t="shared" si="178"/>
        <v>31146.5</v>
      </c>
      <c r="AY159" s="10"/>
      <c r="AZ159" s="10"/>
      <c r="BA159" s="10">
        <v>0</v>
      </c>
      <c r="BB159" s="10">
        <v>0</v>
      </c>
      <c r="BC159" s="10">
        <f t="shared" si="100"/>
        <v>0</v>
      </c>
      <c r="BD159" s="10"/>
      <c r="BE159" s="26">
        <f t="shared" si="164"/>
        <v>0</v>
      </c>
      <c r="BF159" s="122">
        <f t="shared" si="164"/>
        <v>0</v>
      </c>
      <c r="BG159" s="122"/>
      <c r="BH159" s="122">
        <f t="shared" si="165"/>
        <v>0</v>
      </c>
      <c r="BI159" s="122"/>
      <c r="BJ159" s="122">
        <f t="shared" si="115"/>
        <v>0</v>
      </c>
      <c r="BK159" s="122"/>
      <c r="BL159" s="122"/>
      <c r="BM159" s="122"/>
      <c r="BN159" s="122" t="s">
        <v>91</v>
      </c>
      <c r="BO159" s="122" t="s">
        <v>1613</v>
      </c>
      <c r="BP159" s="122" t="s">
        <v>90</v>
      </c>
      <c r="BQ159" s="122" t="s">
        <v>92</v>
      </c>
      <c r="BR159" s="122" t="s">
        <v>94</v>
      </c>
      <c r="BS159" s="122" t="s">
        <v>93</v>
      </c>
      <c r="BT159" s="55" t="s">
        <v>980</v>
      </c>
      <c r="BU159" s="29"/>
      <c r="BV159" s="29"/>
      <c r="BW159" s="29"/>
      <c r="BX159" s="29"/>
      <c r="BY159" s="29"/>
    </row>
    <row r="160" spans="1:77" s="30" customFormat="1" ht="34.5" hidden="1" customHeight="1" outlineLevel="1" x14ac:dyDescent="0.25">
      <c r="A160" s="49"/>
      <c r="B160" s="59">
        <v>11</v>
      </c>
      <c r="C160" s="122" t="s">
        <v>95</v>
      </c>
      <c r="D160" s="122" t="s">
        <v>96</v>
      </c>
      <c r="E160" s="122" t="s">
        <v>324</v>
      </c>
      <c r="F160" s="122">
        <v>156860</v>
      </c>
      <c r="G160" s="122">
        <v>153619</v>
      </c>
      <c r="H160" s="122"/>
      <c r="I160" s="122"/>
      <c r="J160" s="122"/>
      <c r="K160" s="122">
        <v>1</v>
      </c>
      <c r="L160" s="122"/>
      <c r="M160" s="122"/>
      <c r="N160" s="122">
        <f t="shared" si="175"/>
        <v>0</v>
      </c>
      <c r="O160" s="122">
        <v>122895</v>
      </c>
      <c r="P160" s="122">
        <v>1</v>
      </c>
      <c r="Q160" s="26">
        <v>122895</v>
      </c>
      <c r="R160" s="122">
        <v>1</v>
      </c>
      <c r="S160" s="122">
        <f t="shared" si="103"/>
        <v>122895</v>
      </c>
      <c r="T160" s="122"/>
      <c r="U160" s="26">
        <f t="shared" si="180"/>
        <v>122895</v>
      </c>
      <c r="V160" s="122">
        <f t="shared" si="170"/>
        <v>1</v>
      </c>
      <c r="W160" s="122"/>
      <c r="X160" s="122">
        <f t="shared" si="171"/>
        <v>0</v>
      </c>
      <c r="Y160" s="122">
        <v>122895</v>
      </c>
      <c r="Z160" s="122">
        <f t="shared" si="172"/>
        <v>1</v>
      </c>
      <c r="AA160" s="122">
        <v>-122895</v>
      </c>
      <c r="AB160" s="122"/>
      <c r="AC160" s="26">
        <f t="shared" si="181"/>
        <v>0</v>
      </c>
      <c r="AD160" s="122">
        <f t="shared" si="181"/>
        <v>0</v>
      </c>
      <c r="AE160" s="122"/>
      <c r="AF160" s="122">
        <f t="shared" si="173"/>
        <v>0</v>
      </c>
      <c r="AG160" s="122"/>
      <c r="AH160" s="122">
        <f t="shared" si="174"/>
        <v>0</v>
      </c>
      <c r="AI160" s="122">
        <f t="shared" si="176"/>
        <v>0</v>
      </c>
      <c r="AJ160" s="122">
        <v>1</v>
      </c>
      <c r="AK160" s="122"/>
      <c r="AL160" s="122">
        <v>0</v>
      </c>
      <c r="AM160" s="122">
        <v>0</v>
      </c>
      <c r="AN160" s="122">
        <f t="shared" si="110"/>
        <v>-122895</v>
      </c>
      <c r="AO160" s="122"/>
      <c r="AP160" s="122">
        <f t="shared" si="177"/>
        <v>122895</v>
      </c>
      <c r="AQ160" s="122"/>
      <c r="AR160" s="34">
        <f t="shared" si="179"/>
        <v>122895</v>
      </c>
      <c r="AS160" s="10">
        <f t="shared" si="179"/>
        <v>1</v>
      </c>
      <c r="AT160" s="10"/>
      <c r="AU160" s="10">
        <f t="shared" si="112"/>
        <v>0</v>
      </c>
      <c r="AV160" s="10">
        <f>122895</f>
        <v>122895</v>
      </c>
      <c r="AW160" s="10">
        <f t="shared" si="119"/>
        <v>1</v>
      </c>
      <c r="AX160" s="10">
        <f t="shared" si="178"/>
        <v>30723.75</v>
      </c>
      <c r="AY160" s="10"/>
      <c r="AZ160" s="10"/>
      <c r="BA160" s="10">
        <v>0</v>
      </c>
      <c r="BB160" s="10">
        <v>0</v>
      </c>
      <c r="BC160" s="10">
        <f t="shared" si="100"/>
        <v>0</v>
      </c>
      <c r="BD160" s="10"/>
      <c r="BE160" s="26">
        <f t="shared" si="164"/>
        <v>0</v>
      </c>
      <c r="BF160" s="122">
        <f t="shared" si="164"/>
        <v>0</v>
      </c>
      <c r="BG160" s="122"/>
      <c r="BH160" s="122">
        <f t="shared" si="165"/>
        <v>0</v>
      </c>
      <c r="BI160" s="122"/>
      <c r="BJ160" s="122">
        <f t="shared" si="115"/>
        <v>0</v>
      </c>
      <c r="BK160" s="122"/>
      <c r="BL160" s="122"/>
      <c r="BM160" s="122"/>
      <c r="BN160" s="122" t="s">
        <v>97</v>
      </c>
      <c r="BO160" s="122" t="s">
        <v>1614</v>
      </c>
      <c r="BP160" s="122" t="s">
        <v>1354</v>
      </c>
      <c r="BQ160" s="122" t="s">
        <v>98</v>
      </c>
      <c r="BR160" s="122" t="s">
        <v>99</v>
      </c>
      <c r="BS160" s="122" t="s">
        <v>1615</v>
      </c>
      <c r="BT160" s="55" t="s">
        <v>981</v>
      </c>
      <c r="BU160" s="29"/>
      <c r="BV160" s="29"/>
      <c r="BW160" s="29"/>
      <c r="BX160" s="29"/>
      <c r="BY160" s="29"/>
    </row>
    <row r="161" spans="1:77" s="30" customFormat="1" ht="35.25" hidden="1" customHeight="1" outlineLevel="1" x14ac:dyDescent="0.25">
      <c r="A161" s="49"/>
      <c r="B161" s="59">
        <v>12</v>
      </c>
      <c r="C161" s="122" t="s">
        <v>1355</v>
      </c>
      <c r="D161" s="122" t="s">
        <v>1116</v>
      </c>
      <c r="E161" s="122" t="s">
        <v>10</v>
      </c>
      <c r="F161" s="122">
        <v>305302.24</v>
      </c>
      <c r="G161" s="122">
        <v>291132.24</v>
      </c>
      <c r="H161" s="122"/>
      <c r="I161" s="122"/>
      <c r="J161" s="122"/>
      <c r="K161" s="122"/>
      <c r="L161" s="122"/>
      <c r="M161" s="122">
        <v>0</v>
      </c>
      <c r="N161" s="122">
        <f t="shared" si="175"/>
        <v>0</v>
      </c>
      <c r="O161" s="122">
        <v>232906</v>
      </c>
      <c r="P161" s="122">
        <v>1</v>
      </c>
      <c r="Q161" s="26">
        <v>89983</v>
      </c>
      <c r="R161" s="122">
        <v>1</v>
      </c>
      <c r="S161" s="122">
        <f t="shared" si="103"/>
        <v>89983</v>
      </c>
      <c r="T161" s="122"/>
      <c r="U161" s="26">
        <f t="shared" si="180"/>
        <v>89983</v>
      </c>
      <c r="V161" s="122">
        <f t="shared" si="170"/>
        <v>1</v>
      </c>
      <c r="W161" s="122"/>
      <c r="X161" s="122">
        <f t="shared" si="171"/>
        <v>0</v>
      </c>
      <c r="Y161" s="122">
        <v>89983</v>
      </c>
      <c r="Z161" s="122">
        <f t="shared" si="172"/>
        <v>1</v>
      </c>
      <c r="AA161" s="122">
        <v>-89983</v>
      </c>
      <c r="AB161" s="122"/>
      <c r="AC161" s="26">
        <f t="shared" si="181"/>
        <v>0</v>
      </c>
      <c r="AD161" s="122">
        <f t="shared" si="181"/>
        <v>0</v>
      </c>
      <c r="AE161" s="122"/>
      <c r="AF161" s="122">
        <f t="shared" si="173"/>
        <v>0</v>
      </c>
      <c r="AG161" s="122"/>
      <c r="AH161" s="122">
        <f t="shared" si="174"/>
        <v>0</v>
      </c>
      <c r="AI161" s="122">
        <f t="shared" si="176"/>
        <v>0</v>
      </c>
      <c r="AJ161" s="122"/>
      <c r="AK161" s="122">
        <v>1</v>
      </c>
      <c r="AL161" s="122">
        <v>142923</v>
      </c>
      <c r="AM161" s="122">
        <v>1</v>
      </c>
      <c r="AN161" s="122">
        <f t="shared" si="110"/>
        <v>-89983</v>
      </c>
      <c r="AO161" s="122"/>
      <c r="AP161" s="122">
        <f t="shared" si="177"/>
        <v>89983</v>
      </c>
      <c r="AQ161" s="122"/>
      <c r="AR161" s="34">
        <f t="shared" si="179"/>
        <v>232906</v>
      </c>
      <c r="AS161" s="10">
        <f t="shared" si="179"/>
        <v>1</v>
      </c>
      <c r="AT161" s="10"/>
      <c r="AU161" s="10">
        <f t="shared" si="112"/>
        <v>0</v>
      </c>
      <c r="AV161" s="10">
        <f>182906+50000</f>
        <v>232906</v>
      </c>
      <c r="AW161" s="10">
        <f t="shared" si="119"/>
        <v>1</v>
      </c>
      <c r="AX161" s="10">
        <f t="shared" si="178"/>
        <v>58226.5</v>
      </c>
      <c r="AY161" s="10">
        <v>1</v>
      </c>
      <c r="AZ161" s="10"/>
      <c r="BA161" s="10">
        <v>0</v>
      </c>
      <c r="BB161" s="10">
        <v>0</v>
      </c>
      <c r="BC161" s="10">
        <f t="shared" ref="BC161:BC220" si="182">BA161-BE161</f>
        <v>0</v>
      </c>
      <c r="BD161" s="10"/>
      <c r="BE161" s="26">
        <f t="shared" si="164"/>
        <v>0</v>
      </c>
      <c r="BF161" s="122">
        <f t="shared" si="164"/>
        <v>0</v>
      </c>
      <c r="BG161" s="122"/>
      <c r="BH161" s="122">
        <f t="shared" si="165"/>
        <v>0</v>
      </c>
      <c r="BI161" s="122"/>
      <c r="BJ161" s="122">
        <f t="shared" si="115"/>
        <v>0</v>
      </c>
      <c r="BK161" s="122"/>
      <c r="BL161" s="122"/>
      <c r="BM161" s="122"/>
      <c r="BN161" s="122" t="s">
        <v>1356</v>
      </c>
      <c r="BO161" s="122" t="s">
        <v>849</v>
      </c>
      <c r="BP161" s="122" t="s">
        <v>1115</v>
      </c>
      <c r="BQ161" s="122" t="s">
        <v>1114</v>
      </c>
      <c r="BR161" s="122" t="s">
        <v>1113</v>
      </c>
      <c r="BS161" s="122" t="s">
        <v>1616</v>
      </c>
      <c r="BT161" s="55" t="s">
        <v>1357</v>
      </c>
      <c r="BU161" s="29"/>
      <c r="BV161" s="29"/>
      <c r="BW161" s="29"/>
      <c r="BX161" s="29"/>
      <c r="BY161" s="29"/>
    </row>
    <row r="162" spans="1:77" s="30" customFormat="1" ht="36" hidden="1" customHeight="1" outlineLevel="1" x14ac:dyDescent="0.25">
      <c r="A162" s="49"/>
      <c r="B162" s="59">
        <v>13</v>
      </c>
      <c r="C162" s="122" t="s">
        <v>835</v>
      </c>
      <c r="D162" s="122" t="s">
        <v>1216</v>
      </c>
      <c r="E162" s="122" t="s">
        <v>324</v>
      </c>
      <c r="F162" s="122">
        <v>208764</v>
      </c>
      <c r="G162" s="122">
        <v>205174</v>
      </c>
      <c r="H162" s="122"/>
      <c r="I162" s="122"/>
      <c r="J162" s="122"/>
      <c r="K162" s="122">
        <v>1</v>
      </c>
      <c r="L162" s="122"/>
      <c r="M162" s="122">
        <v>0</v>
      </c>
      <c r="N162" s="122">
        <f t="shared" si="175"/>
        <v>0</v>
      </c>
      <c r="O162" s="122">
        <v>164139</v>
      </c>
      <c r="P162" s="122">
        <v>1</v>
      </c>
      <c r="Q162" s="26">
        <v>164139</v>
      </c>
      <c r="R162" s="122">
        <v>1</v>
      </c>
      <c r="S162" s="122">
        <f t="shared" ref="S162:S174" si="183">Q162-AC162</f>
        <v>164139</v>
      </c>
      <c r="T162" s="122"/>
      <c r="U162" s="26">
        <f t="shared" si="180"/>
        <v>164139</v>
      </c>
      <c r="V162" s="122">
        <f t="shared" si="170"/>
        <v>1</v>
      </c>
      <c r="W162" s="122"/>
      <c r="X162" s="122">
        <f t="shared" si="171"/>
        <v>0</v>
      </c>
      <c r="Y162" s="122">
        <v>164139</v>
      </c>
      <c r="Z162" s="122">
        <f t="shared" si="172"/>
        <v>1</v>
      </c>
      <c r="AA162" s="122">
        <v>-164139</v>
      </c>
      <c r="AB162" s="122"/>
      <c r="AC162" s="26">
        <f t="shared" si="181"/>
        <v>0</v>
      </c>
      <c r="AD162" s="122">
        <f t="shared" si="181"/>
        <v>0</v>
      </c>
      <c r="AE162" s="122"/>
      <c r="AF162" s="122">
        <f t="shared" si="173"/>
        <v>0</v>
      </c>
      <c r="AG162" s="122"/>
      <c r="AH162" s="122">
        <f t="shared" si="174"/>
        <v>0</v>
      </c>
      <c r="AI162" s="122">
        <f t="shared" si="176"/>
        <v>0</v>
      </c>
      <c r="AJ162" s="122">
        <v>1</v>
      </c>
      <c r="AK162" s="122"/>
      <c r="AL162" s="122">
        <v>0</v>
      </c>
      <c r="AM162" s="122">
        <v>0</v>
      </c>
      <c r="AN162" s="122">
        <f t="shared" ref="AN162:AN220" si="184">AL162-AR162</f>
        <v>-164139</v>
      </c>
      <c r="AO162" s="122"/>
      <c r="AP162" s="122">
        <f t="shared" si="177"/>
        <v>164139</v>
      </c>
      <c r="AQ162" s="122"/>
      <c r="AR162" s="34">
        <f t="shared" si="179"/>
        <v>164139</v>
      </c>
      <c r="AS162" s="10">
        <f t="shared" si="179"/>
        <v>1</v>
      </c>
      <c r="AT162" s="10"/>
      <c r="AU162" s="10">
        <f t="shared" si="112"/>
        <v>0</v>
      </c>
      <c r="AV162" s="10">
        <f>114139+50000</f>
        <v>164139</v>
      </c>
      <c r="AW162" s="10">
        <f t="shared" si="119"/>
        <v>1</v>
      </c>
      <c r="AX162" s="10">
        <f t="shared" si="178"/>
        <v>41034.75</v>
      </c>
      <c r="AY162" s="10"/>
      <c r="AZ162" s="10"/>
      <c r="BA162" s="10">
        <v>0</v>
      </c>
      <c r="BB162" s="10">
        <v>0</v>
      </c>
      <c r="BC162" s="10">
        <f t="shared" si="182"/>
        <v>0</v>
      </c>
      <c r="BD162" s="10"/>
      <c r="BE162" s="26">
        <f t="shared" si="164"/>
        <v>0</v>
      </c>
      <c r="BF162" s="122">
        <f t="shared" si="164"/>
        <v>0</v>
      </c>
      <c r="BG162" s="122"/>
      <c r="BH162" s="122">
        <f t="shared" si="165"/>
        <v>0</v>
      </c>
      <c r="BI162" s="122"/>
      <c r="BJ162" s="122">
        <f t="shared" ref="BJ162:BJ174" si="185">IF(BI162,1,0)</f>
        <v>0</v>
      </c>
      <c r="BK162" s="122"/>
      <c r="BL162" s="122"/>
      <c r="BM162" s="122"/>
      <c r="BN162" s="122" t="s">
        <v>836</v>
      </c>
      <c r="BO162" s="122" t="s">
        <v>1617</v>
      </c>
      <c r="BP162" s="122" t="s">
        <v>1217</v>
      </c>
      <c r="BQ162" s="122" t="s">
        <v>1218</v>
      </c>
      <c r="BR162" s="122" t="s">
        <v>1219</v>
      </c>
      <c r="BS162" s="122" t="s">
        <v>1220</v>
      </c>
      <c r="BT162" s="55" t="s">
        <v>1352</v>
      </c>
      <c r="BU162" s="29"/>
      <c r="BV162" s="29"/>
      <c r="BW162" s="29"/>
      <c r="BX162" s="29"/>
      <c r="BY162" s="29"/>
    </row>
    <row r="163" spans="1:77" s="30" customFormat="1" ht="31.5" hidden="1" customHeight="1" outlineLevel="1" x14ac:dyDescent="0.25">
      <c r="A163" s="49"/>
      <c r="B163" s="59">
        <v>14</v>
      </c>
      <c r="C163" s="122" t="s">
        <v>1408</v>
      </c>
      <c r="D163" s="122" t="s">
        <v>1401</v>
      </c>
      <c r="E163" s="122">
        <v>2016</v>
      </c>
      <c r="F163" s="122">
        <v>180762</v>
      </c>
      <c r="G163" s="122">
        <v>172399</v>
      </c>
      <c r="H163" s="122"/>
      <c r="I163" s="122"/>
      <c r="J163" s="122"/>
      <c r="K163" s="122">
        <v>1</v>
      </c>
      <c r="L163" s="122"/>
      <c r="M163" s="122">
        <v>0</v>
      </c>
      <c r="N163" s="122">
        <f t="shared" si="175"/>
        <v>0</v>
      </c>
      <c r="O163" s="122">
        <v>137919</v>
      </c>
      <c r="P163" s="122">
        <v>1</v>
      </c>
      <c r="Q163" s="26">
        <v>0</v>
      </c>
      <c r="R163" s="122">
        <v>0</v>
      </c>
      <c r="S163" s="122">
        <f t="shared" si="183"/>
        <v>0</v>
      </c>
      <c r="T163" s="122"/>
      <c r="U163" s="26">
        <f t="shared" si="180"/>
        <v>0</v>
      </c>
      <c r="V163" s="122">
        <f t="shared" si="170"/>
        <v>0</v>
      </c>
      <c r="W163" s="41"/>
      <c r="X163" s="122">
        <f t="shared" si="171"/>
        <v>0</v>
      </c>
      <c r="Y163" s="41"/>
      <c r="Z163" s="122">
        <f t="shared" si="172"/>
        <v>0</v>
      </c>
      <c r="AA163" s="122">
        <v>0</v>
      </c>
      <c r="AB163" s="122"/>
      <c r="AC163" s="26">
        <f t="shared" si="181"/>
        <v>0</v>
      </c>
      <c r="AD163" s="122">
        <f t="shared" si="181"/>
        <v>0</v>
      </c>
      <c r="AE163" s="41"/>
      <c r="AF163" s="122">
        <f t="shared" si="173"/>
        <v>0</v>
      </c>
      <c r="AG163" s="41"/>
      <c r="AH163" s="122">
        <f t="shared" si="174"/>
        <v>0</v>
      </c>
      <c r="AI163" s="122">
        <f t="shared" si="176"/>
        <v>0</v>
      </c>
      <c r="AJ163" s="122"/>
      <c r="AK163" s="122"/>
      <c r="AL163" s="122">
        <v>137919</v>
      </c>
      <c r="AM163" s="122">
        <v>1</v>
      </c>
      <c r="AN163" s="122">
        <f t="shared" si="184"/>
        <v>0</v>
      </c>
      <c r="AO163" s="122"/>
      <c r="AP163" s="122">
        <f t="shared" si="177"/>
        <v>0</v>
      </c>
      <c r="AQ163" s="122"/>
      <c r="AR163" s="34">
        <f t="shared" si="179"/>
        <v>137919</v>
      </c>
      <c r="AS163" s="10">
        <f t="shared" si="179"/>
        <v>1</v>
      </c>
      <c r="AT163" s="10"/>
      <c r="AU163" s="10">
        <f t="shared" ref="AU163:AU174" si="186">IF(AT163,1,0)</f>
        <v>0</v>
      </c>
      <c r="AV163" s="10">
        <v>137919</v>
      </c>
      <c r="AW163" s="10">
        <f t="shared" ref="AW163:AW173" si="187">IF(AV163,1,0)</f>
        <v>1</v>
      </c>
      <c r="AX163" s="10">
        <f t="shared" si="178"/>
        <v>34479.75</v>
      </c>
      <c r="AY163" s="10">
        <v>1</v>
      </c>
      <c r="AZ163" s="10"/>
      <c r="BA163" s="10">
        <v>0</v>
      </c>
      <c r="BB163" s="10">
        <v>0</v>
      </c>
      <c r="BC163" s="10">
        <f t="shared" si="182"/>
        <v>0</v>
      </c>
      <c r="BD163" s="10"/>
      <c r="BE163" s="26">
        <f t="shared" si="164"/>
        <v>0</v>
      </c>
      <c r="BF163" s="122">
        <f t="shared" si="164"/>
        <v>0</v>
      </c>
      <c r="BG163" s="122"/>
      <c r="BH163" s="122">
        <f t="shared" si="165"/>
        <v>0</v>
      </c>
      <c r="BI163" s="122"/>
      <c r="BJ163" s="122">
        <f t="shared" si="185"/>
        <v>0</v>
      </c>
      <c r="BK163" s="122"/>
      <c r="BL163" s="122"/>
      <c r="BM163" s="122"/>
      <c r="BN163" s="122" t="s">
        <v>1402</v>
      </c>
      <c r="BO163" s="122" t="s">
        <v>837</v>
      </c>
      <c r="BP163" s="122" t="s">
        <v>1403</v>
      </c>
      <c r="BQ163" s="122" t="s">
        <v>1404</v>
      </c>
      <c r="BR163" s="122" t="s">
        <v>1405</v>
      </c>
      <c r="BS163" s="122" t="s">
        <v>1406</v>
      </c>
      <c r="BT163" s="55" t="s">
        <v>1407</v>
      </c>
      <c r="BU163" s="29"/>
      <c r="BV163" s="29"/>
      <c r="BW163" s="29"/>
      <c r="BX163" s="29"/>
      <c r="BY163" s="29"/>
    </row>
    <row r="164" spans="1:77" s="30" customFormat="1" ht="56.25" hidden="1" customHeight="1" outlineLevel="1" x14ac:dyDescent="0.25">
      <c r="A164" s="49"/>
      <c r="B164" s="59">
        <v>15</v>
      </c>
      <c r="C164" s="122" t="s">
        <v>1781</v>
      </c>
      <c r="D164" s="122" t="s">
        <v>1716</v>
      </c>
      <c r="E164" s="122">
        <v>2016</v>
      </c>
      <c r="F164" s="122">
        <v>396827</v>
      </c>
      <c r="G164" s="122">
        <v>372382</v>
      </c>
      <c r="H164" s="122"/>
      <c r="I164" s="122"/>
      <c r="J164" s="122"/>
      <c r="K164" s="122"/>
      <c r="L164" s="122"/>
      <c r="M164" s="122"/>
      <c r="N164" s="122">
        <f t="shared" si="175"/>
        <v>0</v>
      </c>
      <c r="O164" s="122">
        <v>0</v>
      </c>
      <c r="P164" s="122">
        <v>0</v>
      </c>
      <c r="Q164" s="26">
        <v>0</v>
      </c>
      <c r="R164" s="122">
        <v>0</v>
      </c>
      <c r="S164" s="122">
        <f t="shared" si="183"/>
        <v>0</v>
      </c>
      <c r="T164" s="122"/>
      <c r="U164" s="26">
        <f t="shared" si="180"/>
        <v>0</v>
      </c>
      <c r="V164" s="122">
        <f t="shared" si="170"/>
        <v>0</v>
      </c>
      <c r="W164" s="41"/>
      <c r="X164" s="122">
        <f t="shared" si="171"/>
        <v>0</v>
      </c>
      <c r="Y164" s="41"/>
      <c r="Z164" s="122">
        <f t="shared" si="172"/>
        <v>0</v>
      </c>
      <c r="AA164" s="122">
        <v>0</v>
      </c>
      <c r="AB164" s="122"/>
      <c r="AC164" s="26">
        <f t="shared" si="181"/>
        <v>0</v>
      </c>
      <c r="AD164" s="122">
        <f t="shared" si="181"/>
        <v>0</v>
      </c>
      <c r="AE164" s="41"/>
      <c r="AF164" s="122">
        <f t="shared" si="173"/>
        <v>0</v>
      </c>
      <c r="AG164" s="41"/>
      <c r="AH164" s="122">
        <f t="shared" si="174"/>
        <v>0</v>
      </c>
      <c r="AI164" s="122">
        <f t="shared" si="176"/>
        <v>0</v>
      </c>
      <c r="AJ164" s="122"/>
      <c r="AK164" s="122"/>
      <c r="AL164" s="122">
        <v>0</v>
      </c>
      <c r="AM164" s="122">
        <v>0</v>
      </c>
      <c r="AN164" s="122">
        <f t="shared" si="184"/>
        <v>-297906</v>
      </c>
      <c r="AO164" s="122"/>
      <c r="AP164" s="122">
        <f t="shared" si="177"/>
        <v>0</v>
      </c>
      <c r="AQ164" s="122"/>
      <c r="AR164" s="34">
        <f t="shared" si="179"/>
        <v>297906</v>
      </c>
      <c r="AS164" s="10">
        <f t="shared" si="179"/>
        <v>1</v>
      </c>
      <c r="AT164" s="10"/>
      <c r="AU164" s="10">
        <f t="shared" si="186"/>
        <v>0</v>
      </c>
      <c r="AV164" s="10">
        <v>297906</v>
      </c>
      <c r="AW164" s="10">
        <f t="shared" si="187"/>
        <v>1</v>
      </c>
      <c r="AX164" s="10">
        <f t="shared" si="178"/>
        <v>74476.5</v>
      </c>
      <c r="AY164" s="10"/>
      <c r="AZ164" s="10">
        <v>1</v>
      </c>
      <c r="BA164" s="10">
        <v>337428</v>
      </c>
      <c r="BB164" s="10">
        <v>1</v>
      </c>
      <c r="BC164" s="10">
        <f t="shared" si="182"/>
        <v>337428</v>
      </c>
      <c r="BD164" s="10"/>
      <c r="BE164" s="26">
        <f t="shared" si="164"/>
        <v>0</v>
      </c>
      <c r="BF164" s="122">
        <f t="shared" si="164"/>
        <v>0</v>
      </c>
      <c r="BG164" s="122"/>
      <c r="BH164" s="122">
        <f t="shared" si="165"/>
        <v>0</v>
      </c>
      <c r="BI164" s="122"/>
      <c r="BJ164" s="122">
        <f t="shared" si="185"/>
        <v>0</v>
      </c>
      <c r="BK164" s="122"/>
      <c r="BL164" s="122"/>
      <c r="BM164" s="122"/>
      <c r="BN164" s="122" t="s">
        <v>1782</v>
      </c>
      <c r="BO164" s="122" t="s">
        <v>1786</v>
      </c>
      <c r="BP164" s="122" t="s">
        <v>1783</v>
      </c>
      <c r="BQ164" s="122" t="s">
        <v>1784</v>
      </c>
      <c r="BR164" s="122" t="s">
        <v>1785</v>
      </c>
      <c r="BS164" s="122" t="s">
        <v>1788</v>
      </c>
      <c r="BT164" s="55" t="s">
        <v>1787</v>
      </c>
      <c r="BU164" s="29"/>
      <c r="BV164" s="29"/>
      <c r="BW164" s="29"/>
      <c r="BX164" s="29"/>
      <c r="BY164" s="29"/>
    </row>
    <row r="165" spans="1:77" s="30" customFormat="1" ht="37.5" hidden="1" customHeight="1" outlineLevel="1" x14ac:dyDescent="0.25">
      <c r="A165" s="49"/>
      <c r="B165" s="59">
        <v>16</v>
      </c>
      <c r="C165" s="122" t="s">
        <v>839</v>
      </c>
      <c r="D165" s="122" t="s">
        <v>1394</v>
      </c>
      <c r="E165" s="122">
        <v>2016</v>
      </c>
      <c r="F165" s="122">
        <v>227837</v>
      </c>
      <c r="G165" s="122">
        <v>214683</v>
      </c>
      <c r="H165" s="122"/>
      <c r="I165" s="122"/>
      <c r="J165" s="122"/>
      <c r="K165" s="122"/>
      <c r="L165" s="122"/>
      <c r="M165" s="122">
        <v>0</v>
      </c>
      <c r="N165" s="122">
        <f t="shared" si="175"/>
        <v>0</v>
      </c>
      <c r="O165" s="122">
        <v>171746</v>
      </c>
      <c r="P165" s="122">
        <v>1</v>
      </c>
      <c r="Q165" s="26">
        <v>0</v>
      </c>
      <c r="R165" s="122">
        <v>0</v>
      </c>
      <c r="S165" s="122">
        <f t="shared" si="183"/>
        <v>0</v>
      </c>
      <c r="T165" s="122"/>
      <c r="U165" s="26">
        <f t="shared" si="180"/>
        <v>0</v>
      </c>
      <c r="V165" s="122">
        <f t="shared" si="170"/>
        <v>0</v>
      </c>
      <c r="W165" s="41"/>
      <c r="X165" s="122">
        <f t="shared" si="171"/>
        <v>0</v>
      </c>
      <c r="Y165" s="41"/>
      <c r="Z165" s="122">
        <f t="shared" si="172"/>
        <v>0</v>
      </c>
      <c r="AA165" s="122">
        <v>0</v>
      </c>
      <c r="AB165" s="122"/>
      <c r="AC165" s="26">
        <f t="shared" si="181"/>
        <v>0</v>
      </c>
      <c r="AD165" s="122">
        <f t="shared" si="181"/>
        <v>0</v>
      </c>
      <c r="AE165" s="41"/>
      <c r="AF165" s="122">
        <f t="shared" si="173"/>
        <v>0</v>
      </c>
      <c r="AG165" s="41"/>
      <c r="AH165" s="122">
        <f t="shared" si="174"/>
        <v>0</v>
      </c>
      <c r="AI165" s="122">
        <f t="shared" si="176"/>
        <v>0</v>
      </c>
      <c r="AJ165" s="122"/>
      <c r="AK165" s="122"/>
      <c r="AL165" s="122">
        <v>171746</v>
      </c>
      <c r="AM165" s="122">
        <v>1</v>
      </c>
      <c r="AN165" s="122">
        <f t="shared" si="184"/>
        <v>0</v>
      </c>
      <c r="AO165" s="122"/>
      <c r="AP165" s="122">
        <f t="shared" si="177"/>
        <v>0</v>
      </c>
      <c r="AQ165" s="122"/>
      <c r="AR165" s="34">
        <f t="shared" si="179"/>
        <v>171746</v>
      </c>
      <c r="AS165" s="10">
        <f t="shared" si="179"/>
        <v>1</v>
      </c>
      <c r="AT165" s="10"/>
      <c r="AU165" s="10">
        <f t="shared" si="186"/>
        <v>0</v>
      </c>
      <c r="AV165" s="10">
        <f>121746+50000</f>
        <v>171746</v>
      </c>
      <c r="AW165" s="10">
        <f t="shared" si="187"/>
        <v>1</v>
      </c>
      <c r="AX165" s="10">
        <f t="shared" si="178"/>
        <v>42936.5</v>
      </c>
      <c r="AY165" s="10">
        <v>1</v>
      </c>
      <c r="AZ165" s="10"/>
      <c r="BA165" s="10">
        <v>0</v>
      </c>
      <c r="BB165" s="10">
        <v>0</v>
      </c>
      <c r="BC165" s="10">
        <f t="shared" si="182"/>
        <v>0</v>
      </c>
      <c r="BD165" s="10"/>
      <c r="BE165" s="26">
        <f t="shared" si="164"/>
        <v>0</v>
      </c>
      <c r="BF165" s="122">
        <f t="shared" si="164"/>
        <v>0</v>
      </c>
      <c r="BG165" s="122"/>
      <c r="BH165" s="122">
        <f t="shared" si="165"/>
        <v>0</v>
      </c>
      <c r="BI165" s="122"/>
      <c r="BJ165" s="122">
        <f t="shared" si="185"/>
        <v>0</v>
      </c>
      <c r="BK165" s="122"/>
      <c r="BL165" s="122"/>
      <c r="BM165" s="122"/>
      <c r="BN165" s="122" t="s">
        <v>1395</v>
      </c>
      <c r="BO165" s="122" t="s">
        <v>838</v>
      </c>
      <c r="BP165" s="122" t="s">
        <v>1396</v>
      </c>
      <c r="BQ165" s="122" t="s">
        <v>1397</v>
      </c>
      <c r="BR165" s="41" t="s">
        <v>1398</v>
      </c>
      <c r="BS165" s="122" t="s">
        <v>1399</v>
      </c>
      <c r="BT165" s="55" t="s">
        <v>1400</v>
      </c>
      <c r="BU165" s="29"/>
      <c r="BV165" s="29"/>
      <c r="BW165" s="29"/>
      <c r="BX165" s="29"/>
      <c r="BY165" s="29"/>
    </row>
    <row r="166" spans="1:77" s="30" customFormat="1" ht="30.75" hidden="1" customHeight="1" outlineLevel="1" x14ac:dyDescent="0.25">
      <c r="A166" s="49"/>
      <c r="B166" s="59">
        <v>17</v>
      </c>
      <c r="C166" s="122" t="s">
        <v>840</v>
      </c>
      <c r="D166" s="122" t="s">
        <v>1442</v>
      </c>
      <c r="E166" s="122">
        <v>2015</v>
      </c>
      <c r="F166" s="122">
        <v>393690</v>
      </c>
      <c r="G166" s="122">
        <v>384689.96</v>
      </c>
      <c r="H166" s="122"/>
      <c r="I166" s="122"/>
      <c r="J166" s="122"/>
      <c r="K166" s="122"/>
      <c r="L166" s="122"/>
      <c r="M166" s="122">
        <v>0</v>
      </c>
      <c r="N166" s="122">
        <f t="shared" si="175"/>
        <v>0</v>
      </c>
      <c r="O166" s="122">
        <v>200000</v>
      </c>
      <c r="P166" s="122">
        <v>1</v>
      </c>
      <c r="Q166" s="26">
        <v>307752</v>
      </c>
      <c r="R166" s="122">
        <v>1</v>
      </c>
      <c r="S166" s="122">
        <f t="shared" si="183"/>
        <v>307752</v>
      </c>
      <c r="T166" s="122"/>
      <c r="U166" s="26">
        <f t="shared" si="180"/>
        <v>307752</v>
      </c>
      <c r="V166" s="122">
        <f t="shared" si="170"/>
        <v>1</v>
      </c>
      <c r="W166" s="41"/>
      <c r="X166" s="122">
        <f t="shared" si="171"/>
        <v>0</v>
      </c>
      <c r="Y166" s="41">
        <v>307752</v>
      </c>
      <c r="Z166" s="122">
        <f t="shared" si="172"/>
        <v>1</v>
      </c>
      <c r="AA166" s="122">
        <v>-307752</v>
      </c>
      <c r="AB166" s="122"/>
      <c r="AC166" s="26">
        <f t="shared" si="181"/>
        <v>0</v>
      </c>
      <c r="AD166" s="122">
        <f t="shared" si="181"/>
        <v>0</v>
      </c>
      <c r="AE166" s="41"/>
      <c r="AF166" s="122">
        <f t="shared" si="173"/>
        <v>0</v>
      </c>
      <c r="AG166" s="41"/>
      <c r="AH166" s="122">
        <f t="shared" si="174"/>
        <v>0</v>
      </c>
      <c r="AI166" s="122">
        <f t="shared" si="176"/>
        <v>0</v>
      </c>
      <c r="AJ166" s="122">
        <v>1</v>
      </c>
      <c r="AK166" s="122"/>
      <c r="AL166" s="122">
        <v>0</v>
      </c>
      <c r="AM166" s="122">
        <v>0</v>
      </c>
      <c r="AN166" s="122">
        <f t="shared" si="184"/>
        <v>-307752</v>
      </c>
      <c r="AO166" s="122"/>
      <c r="AP166" s="122">
        <f t="shared" si="177"/>
        <v>307752</v>
      </c>
      <c r="AQ166" s="122"/>
      <c r="AR166" s="34">
        <f t="shared" si="179"/>
        <v>307752</v>
      </c>
      <c r="AS166" s="10">
        <f t="shared" si="179"/>
        <v>1</v>
      </c>
      <c r="AT166" s="10"/>
      <c r="AU166" s="10">
        <f t="shared" si="186"/>
        <v>0</v>
      </c>
      <c r="AV166" s="10">
        <f>307752</f>
        <v>307752</v>
      </c>
      <c r="AW166" s="10">
        <f t="shared" si="187"/>
        <v>1</v>
      </c>
      <c r="AX166" s="10">
        <f t="shared" si="178"/>
        <v>76938</v>
      </c>
      <c r="AY166" s="10"/>
      <c r="AZ166" s="10"/>
      <c r="BA166" s="10">
        <v>302818</v>
      </c>
      <c r="BB166" s="10">
        <v>1</v>
      </c>
      <c r="BC166" s="10">
        <f t="shared" si="182"/>
        <v>302818</v>
      </c>
      <c r="BD166" s="10"/>
      <c r="BE166" s="26">
        <f t="shared" si="164"/>
        <v>0</v>
      </c>
      <c r="BF166" s="122">
        <f t="shared" si="164"/>
        <v>0</v>
      </c>
      <c r="BG166" s="122"/>
      <c r="BH166" s="122">
        <f t="shared" si="165"/>
        <v>0</v>
      </c>
      <c r="BI166" s="122"/>
      <c r="BJ166" s="122">
        <f t="shared" si="185"/>
        <v>0</v>
      </c>
      <c r="BK166" s="122"/>
      <c r="BL166" s="122"/>
      <c r="BM166" s="122"/>
      <c r="BN166" s="122" t="s">
        <v>1823</v>
      </c>
      <c r="BO166" s="122" t="s">
        <v>841</v>
      </c>
      <c r="BP166" s="122" t="s">
        <v>1618</v>
      </c>
      <c r="BQ166" s="122" t="s">
        <v>1619</v>
      </c>
      <c r="BR166" s="122" t="s">
        <v>1620</v>
      </c>
      <c r="BS166" s="122" t="s">
        <v>1621</v>
      </c>
      <c r="BT166" s="55" t="s">
        <v>1622</v>
      </c>
      <c r="BU166" s="29"/>
      <c r="BV166" s="29"/>
      <c r="BW166" s="29"/>
      <c r="BX166" s="29"/>
      <c r="BY166" s="29"/>
    </row>
    <row r="167" spans="1:77" s="30" customFormat="1" ht="67.5" hidden="1" outlineLevel="1" x14ac:dyDescent="0.25">
      <c r="A167" s="49"/>
      <c r="B167" s="59">
        <v>18</v>
      </c>
      <c r="C167" s="122" t="s">
        <v>842</v>
      </c>
      <c r="D167" s="122" t="s">
        <v>1717</v>
      </c>
      <c r="E167" s="122">
        <v>2016</v>
      </c>
      <c r="F167" s="122">
        <v>209247</v>
      </c>
      <c r="G167" s="122">
        <v>202246</v>
      </c>
      <c r="H167" s="122"/>
      <c r="I167" s="122"/>
      <c r="J167" s="122"/>
      <c r="K167" s="122"/>
      <c r="L167" s="122"/>
      <c r="M167" s="122"/>
      <c r="N167" s="122">
        <f t="shared" si="175"/>
        <v>0</v>
      </c>
      <c r="O167" s="122">
        <v>0</v>
      </c>
      <c r="P167" s="122">
        <v>0</v>
      </c>
      <c r="Q167" s="26">
        <v>0</v>
      </c>
      <c r="R167" s="122">
        <v>0</v>
      </c>
      <c r="S167" s="122">
        <f t="shared" si="183"/>
        <v>0</v>
      </c>
      <c r="T167" s="122"/>
      <c r="U167" s="26">
        <f t="shared" si="180"/>
        <v>0</v>
      </c>
      <c r="V167" s="122">
        <f t="shared" si="170"/>
        <v>0</v>
      </c>
      <c r="W167" s="41"/>
      <c r="X167" s="122">
        <f t="shared" si="171"/>
        <v>0</v>
      </c>
      <c r="Y167" s="41"/>
      <c r="Z167" s="122">
        <f t="shared" si="172"/>
        <v>0</v>
      </c>
      <c r="AA167" s="122">
        <v>0</v>
      </c>
      <c r="AB167" s="122"/>
      <c r="AC167" s="26">
        <f t="shared" si="181"/>
        <v>0</v>
      </c>
      <c r="AD167" s="122">
        <f t="shared" si="181"/>
        <v>0</v>
      </c>
      <c r="AE167" s="41"/>
      <c r="AF167" s="122">
        <f t="shared" si="173"/>
        <v>0</v>
      </c>
      <c r="AG167" s="41"/>
      <c r="AH167" s="122">
        <f t="shared" si="174"/>
        <v>0</v>
      </c>
      <c r="AI167" s="122">
        <f t="shared" si="176"/>
        <v>0</v>
      </c>
      <c r="AJ167" s="122"/>
      <c r="AK167" s="122"/>
      <c r="AL167" s="122">
        <v>0</v>
      </c>
      <c r="AM167" s="122">
        <v>0</v>
      </c>
      <c r="AN167" s="122">
        <f t="shared" si="184"/>
        <v>-161797</v>
      </c>
      <c r="AO167" s="122"/>
      <c r="AP167" s="122">
        <f t="shared" si="177"/>
        <v>0</v>
      </c>
      <c r="AQ167" s="122"/>
      <c r="AR167" s="34">
        <f t="shared" si="179"/>
        <v>161797</v>
      </c>
      <c r="AS167" s="10">
        <f t="shared" si="179"/>
        <v>1</v>
      </c>
      <c r="AT167" s="10"/>
      <c r="AU167" s="10">
        <f t="shared" si="186"/>
        <v>0</v>
      </c>
      <c r="AV167" s="10">
        <v>161797</v>
      </c>
      <c r="AW167" s="10">
        <f t="shared" si="187"/>
        <v>1</v>
      </c>
      <c r="AX167" s="10">
        <f t="shared" si="178"/>
        <v>40449.25</v>
      </c>
      <c r="AY167" s="10">
        <v>1</v>
      </c>
      <c r="AZ167" s="10"/>
      <c r="BA167" s="10">
        <v>180266</v>
      </c>
      <c r="BB167" s="10">
        <v>1</v>
      </c>
      <c r="BC167" s="10">
        <f t="shared" si="182"/>
        <v>180266</v>
      </c>
      <c r="BD167" s="10"/>
      <c r="BE167" s="26">
        <f t="shared" si="164"/>
        <v>0</v>
      </c>
      <c r="BF167" s="122">
        <f t="shared" si="164"/>
        <v>0</v>
      </c>
      <c r="BG167" s="122"/>
      <c r="BH167" s="122">
        <f t="shared" si="165"/>
        <v>0</v>
      </c>
      <c r="BI167" s="122"/>
      <c r="BJ167" s="122">
        <f t="shared" si="185"/>
        <v>0</v>
      </c>
      <c r="BK167" s="122"/>
      <c r="BL167" s="122"/>
      <c r="BM167" s="122"/>
      <c r="BN167" s="122" t="s">
        <v>1789</v>
      </c>
      <c r="BO167" s="122" t="s">
        <v>1790</v>
      </c>
      <c r="BP167" s="122" t="s">
        <v>1791</v>
      </c>
      <c r="BQ167" s="122" t="s">
        <v>1792</v>
      </c>
      <c r="BR167" s="122" t="s">
        <v>1793</v>
      </c>
      <c r="BS167" s="122" t="s">
        <v>1794</v>
      </c>
      <c r="BT167" s="55" t="s">
        <v>1795</v>
      </c>
      <c r="BU167" s="29"/>
      <c r="BV167" s="29"/>
      <c r="BW167" s="29"/>
      <c r="BX167" s="29"/>
      <c r="BY167" s="29"/>
    </row>
    <row r="168" spans="1:77" s="30" customFormat="1" ht="33.75" hidden="1" customHeight="1" outlineLevel="1" x14ac:dyDescent="0.25">
      <c r="A168" s="49"/>
      <c r="B168" s="59">
        <v>19</v>
      </c>
      <c r="C168" s="122" t="s">
        <v>1371</v>
      </c>
      <c r="D168" s="122" t="s">
        <v>1372</v>
      </c>
      <c r="E168" s="122">
        <v>2016</v>
      </c>
      <c r="F168" s="122">
        <v>377185</v>
      </c>
      <c r="G168" s="122">
        <v>369849</v>
      </c>
      <c r="H168" s="122"/>
      <c r="I168" s="122"/>
      <c r="J168" s="122"/>
      <c r="K168" s="122"/>
      <c r="L168" s="122"/>
      <c r="M168" s="122">
        <v>0</v>
      </c>
      <c r="N168" s="122">
        <f t="shared" si="175"/>
        <v>0</v>
      </c>
      <c r="O168" s="122">
        <v>295879</v>
      </c>
      <c r="P168" s="122">
        <v>1</v>
      </c>
      <c r="Q168" s="26">
        <v>0</v>
      </c>
      <c r="R168" s="122">
        <v>0</v>
      </c>
      <c r="S168" s="122">
        <f t="shared" si="183"/>
        <v>0</v>
      </c>
      <c r="T168" s="122"/>
      <c r="U168" s="26">
        <f t="shared" si="180"/>
        <v>0</v>
      </c>
      <c r="V168" s="122">
        <f t="shared" si="170"/>
        <v>0</v>
      </c>
      <c r="W168" s="41"/>
      <c r="X168" s="122">
        <f t="shared" si="171"/>
        <v>0</v>
      </c>
      <c r="Y168" s="41"/>
      <c r="Z168" s="122">
        <f t="shared" si="172"/>
        <v>0</v>
      </c>
      <c r="AA168" s="122">
        <v>0</v>
      </c>
      <c r="AB168" s="122"/>
      <c r="AC168" s="26">
        <f t="shared" si="181"/>
        <v>0</v>
      </c>
      <c r="AD168" s="122">
        <f t="shared" si="181"/>
        <v>0</v>
      </c>
      <c r="AE168" s="41"/>
      <c r="AF168" s="122">
        <f t="shared" si="173"/>
        <v>0</v>
      </c>
      <c r="AG168" s="41"/>
      <c r="AH168" s="122">
        <f t="shared" si="174"/>
        <v>0</v>
      </c>
      <c r="AI168" s="122">
        <f t="shared" si="176"/>
        <v>0</v>
      </c>
      <c r="AJ168" s="122"/>
      <c r="AK168" s="122"/>
      <c r="AL168" s="122">
        <v>295879</v>
      </c>
      <c r="AM168" s="122">
        <v>1</v>
      </c>
      <c r="AN168" s="122">
        <f t="shared" si="184"/>
        <v>0</v>
      </c>
      <c r="AO168" s="122"/>
      <c r="AP168" s="122">
        <f t="shared" si="177"/>
        <v>0</v>
      </c>
      <c r="AQ168" s="122"/>
      <c r="AR168" s="34">
        <f t="shared" si="179"/>
        <v>295879</v>
      </c>
      <c r="AS168" s="10">
        <f t="shared" si="179"/>
        <v>1</v>
      </c>
      <c r="AT168" s="10"/>
      <c r="AU168" s="10">
        <f t="shared" si="186"/>
        <v>0</v>
      </c>
      <c r="AV168" s="10">
        <v>295879</v>
      </c>
      <c r="AW168" s="10">
        <f t="shared" si="187"/>
        <v>1</v>
      </c>
      <c r="AX168" s="10">
        <f t="shared" si="178"/>
        <v>73969.75</v>
      </c>
      <c r="AY168" s="10">
        <v>1</v>
      </c>
      <c r="AZ168" s="10"/>
      <c r="BA168" s="10">
        <v>0</v>
      </c>
      <c r="BB168" s="10">
        <v>0</v>
      </c>
      <c r="BC168" s="10">
        <f t="shared" si="182"/>
        <v>0</v>
      </c>
      <c r="BD168" s="10"/>
      <c r="BE168" s="26">
        <f t="shared" si="164"/>
        <v>0</v>
      </c>
      <c r="BF168" s="122">
        <f t="shared" si="164"/>
        <v>0</v>
      </c>
      <c r="BG168" s="122"/>
      <c r="BH168" s="122">
        <f t="shared" si="165"/>
        <v>0</v>
      </c>
      <c r="BI168" s="122"/>
      <c r="BJ168" s="122">
        <f t="shared" si="185"/>
        <v>0</v>
      </c>
      <c r="BK168" s="122"/>
      <c r="BL168" s="122"/>
      <c r="BM168" s="122"/>
      <c r="BN168" s="122" t="s">
        <v>1373</v>
      </c>
      <c r="BO168" s="122" t="s">
        <v>1623</v>
      </c>
      <c r="BP168" s="122" t="s">
        <v>1374</v>
      </c>
      <c r="BQ168" s="122" t="s">
        <v>1375</v>
      </c>
      <c r="BR168" s="122" t="s">
        <v>1376</v>
      </c>
      <c r="BS168" s="122" t="s">
        <v>1377</v>
      </c>
      <c r="BT168" s="55" t="s">
        <v>1378</v>
      </c>
      <c r="BU168" s="29"/>
      <c r="BV168" s="29"/>
      <c r="BW168" s="29"/>
      <c r="BX168" s="29"/>
      <c r="BY168" s="29"/>
    </row>
    <row r="169" spans="1:77" s="30" customFormat="1" ht="24" hidden="1" customHeight="1" outlineLevel="1" x14ac:dyDescent="0.25">
      <c r="A169" s="49"/>
      <c r="B169" s="59">
        <v>20</v>
      </c>
      <c r="C169" s="122" t="s">
        <v>844</v>
      </c>
      <c r="D169" s="122" t="s">
        <v>1440</v>
      </c>
      <c r="E169" s="122">
        <v>2015</v>
      </c>
      <c r="F169" s="122">
        <v>161533</v>
      </c>
      <c r="G169" s="122">
        <v>155230</v>
      </c>
      <c r="H169" s="122"/>
      <c r="I169" s="122"/>
      <c r="J169" s="122"/>
      <c r="K169" s="122">
        <v>1</v>
      </c>
      <c r="L169" s="122"/>
      <c r="M169" s="122">
        <v>0</v>
      </c>
      <c r="N169" s="122">
        <f t="shared" si="175"/>
        <v>0</v>
      </c>
      <c r="O169" s="122">
        <v>124184</v>
      </c>
      <c r="P169" s="122">
        <v>1</v>
      </c>
      <c r="Q169" s="26">
        <v>124184</v>
      </c>
      <c r="R169" s="122">
        <v>1</v>
      </c>
      <c r="S169" s="122">
        <f t="shared" si="183"/>
        <v>124184</v>
      </c>
      <c r="T169" s="122"/>
      <c r="U169" s="26">
        <f t="shared" si="180"/>
        <v>124184</v>
      </c>
      <c r="V169" s="122">
        <f t="shared" si="170"/>
        <v>1</v>
      </c>
      <c r="W169" s="41"/>
      <c r="X169" s="122">
        <f t="shared" si="171"/>
        <v>0</v>
      </c>
      <c r="Y169" s="41">
        <v>124184</v>
      </c>
      <c r="Z169" s="122">
        <f t="shared" si="172"/>
        <v>1</v>
      </c>
      <c r="AA169" s="122">
        <v>-124184</v>
      </c>
      <c r="AB169" s="122"/>
      <c r="AC169" s="26">
        <f t="shared" si="181"/>
        <v>0</v>
      </c>
      <c r="AD169" s="122">
        <f t="shared" si="181"/>
        <v>0</v>
      </c>
      <c r="AE169" s="41"/>
      <c r="AF169" s="122">
        <f t="shared" si="173"/>
        <v>0</v>
      </c>
      <c r="AG169" s="41"/>
      <c r="AH169" s="122">
        <f t="shared" si="174"/>
        <v>0</v>
      </c>
      <c r="AI169" s="122">
        <f t="shared" si="176"/>
        <v>0</v>
      </c>
      <c r="AJ169" s="122">
        <v>1</v>
      </c>
      <c r="AK169" s="122"/>
      <c r="AL169" s="122">
        <v>0</v>
      </c>
      <c r="AM169" s="122">
        <v>0</v>
      </c>
      <c r="AN169" s="122">
        <f t="shared" si="184"/>
        <v>-124184</v>
      </c>
      <c r="AO169" s="122"/>
      <c r="AP169" s="122">
        <f t="shared" si="177"/>
        <v>124184</v>
      </c>
      <c r="AQ169" s="122"/>
      <c r="AR169" s="34">
        <f t="shared" si="179"/>
        <v>124184</v>
      </c>
      <c r="AS169" s="10">
        <f t="shared" si="179"/>
        <v>1</v>
      </c>
      <c r="AT169" s="10"/>
      <c r="AU169" s="10">
        <f t="shared" si="186"/>
        <v>0</v>
      </c>
      <c r="AV169" s="10">
        <f>124184</f>
        <v>124184</v>
      </c>
      <c r="AW169" s="10">
        <f t="shared" si="187"/>
        <v>1</v>
      </c>
      <c r="AX169" s="10">
        <f t="shared" si="178"/>
        <v>31046</v>
      </c>
      <c r="AY169" s="10"/>
      <c r="AZ169" s="10"/>
      <c r="BA169" s="10">
        <v>0</v>
      </c>
      <c r="BB169" s="10">
        <v>0</v>
      </c>
      <c r="BC169" s="10">
        <f t="shared" si="182"/>
        <v>0</v>
      </c>
      <c r="BD169" s="10"/>
      <c r="BE169" s="26">
        <f t="shared" si="164"/>
        <v>0</v>
      </c>
      <c r="BF169" s="122">
        <f t="shared" si="164"/>
        <v>0</v>
      </c>
      <c r="BG169" s="122"/>
      <c r="BH169" s="122">
        <f t="shared" si="165"/>
        <v>0</v>
      </c>
      <c r="BI169" s="122"/>
      <c r="BJ169" s="122">
        <f t="shared" si="185"/>
        <v>0</v>
      </c>
      <c r="BK169" s="122"/>
      <c r="BL169" s="122"/>
      <c r="BM169" s="122"/>
      <c r="BN169" s="122" t="s">
        <v>1534</v>
      </c>
      <c r="BO169" s="122" t="s">
        <v>845</v>
      </c>
      <c r="BP169" s="122" t="s">
        <v>1535</v>
      </c>
      <c r="BQ169" s="122" t="s">
        <v>1536</v>
      </c>
      <c r="BR169" s="122" t="s">
        <v>1537</v>
      </c>
      <c r="BS169" s="122" t="s">
        <v>1538</v>
      </c>
      <c r="BT169" s="55" t="s">
        <v>1539</v>
      </c>
      <c r="BU169" s="29"/>
      <c r="BV169" s="29"/>
      <c r="BW169" s="29"/>
      <c r="BX169" s="29"/>
      <c r="BY169" s="29"/>
    </row>
    <row r="170" spans="1:77" s="30" customFormat="1" ht="32.25" hidden="1" customHeight="1" outlineLevel="1" x14ac:dyDescent="0.25">
      <c r="A170" s="49"/>
      <c r="B170" s="59">
        <v>21</v>
      </c>
      <c r="C170" s="122" t="s">
        <v>846</v>
      </c>
      <c r="D170" s="122" t="s">
        <v>1409</v>
      </c>
      <c r="E170" s="122">
        <v>2016</v>
      </c>
      <c r="F170" s="122">
        <v>202830</v>
      </c>
      <c r="G170" s="122">
        <v>196783</v>
      </c>
      <c r="H170" s="122"/>
      <c r="I170" s="122"/>
      <c r="J170" s="122"/>
      <c r="K170" s="122"/>
      <c r="L170" s="122"/>
      <c r="M170" s="122"/>
      <c r="N170" s="122">
        <f t="shared" si="175"/>
        <v>0</v>
      </c>
      <c r="O170" s="122">
        <v>157426</v>
      </c>
      <c r="P170" s="122">
        <v>1</v>
      </c>
      <c r="Q170" s="26">
        <v>0</v>
      </c>
      <c r="R170" s="122">
        <v>0</v>
      </c>
      <c r="S170" s="122">
        <f t="shared" si="183"/>
        <v>0</v>
      </c>
      <c r="T170" s="122"/>
      <c r="U170" s="26">
        <f t="shared" si="180"/>
        <v>0</v>
      </c>
      <c r="V170" s="122">
        <f t="shared" si="170"/>
        <v>0</v>
      </c>
      <c r="W170" s="41"/>
      <c r="X170" s="122">
        <f t="shared" si="171"/>
        <v>0</v>
      </c>
      <c r="Y170" s="41"/>
      <c r="Z170" s="122">
        <f t="shared" si="172"/>
        <v>0</v>
      </c>
      <c r="AA170" s="122">
        <v>0</v>
      </c>
      <c r="AB170" s="122"/>
      <c r="AC170" s="26">
        <f t="shared" si="181"/>
        <v>0</v>
      </c>
      <c r="AD170" s="122">
        <f t="shared" si="181"/>
        <v>0</v>
      </c>
      <c r="AE170" s="41"/>
      <c r="AF170" s="122">
        <f t="shared" si="173"/>
        <v>0</v>
      </c>
      <c r="AG170" s="41"/>
      <c r="AH170" s="122">
        <f t="shared" si="174"/>
        <v>0</v>
      </c>
      <c r="AI170" s="122">
        <f t="shared" si="176"/>
        <v>0</v>
      </c>
      <c r="AJ170" s="122"/>
      <c r="AK170" s="122"/>
      <c r="AL170" s="122">
        <v>157426</v>
      </c>
      <c r="AM170" s="122">
        <v>1</v>
      </c>
      <c r="AN170" s="122">
        <f t="shared" si="184"/>
        <v>0</v>
      </c>
      <c r="AO170" s="122"/>
      <c r="AP170" s="122">
        <f t="shared" si="177"/>
        <v>0</v>
      </c>
      <c r="AQ170" s="122"/>
      <c r="AR170" s="34">
        <f t="shared" si="179"/>
        <v>157426</v>
      </c>
      <c r="AS170" s="10">
        <f t="shared" si="179"/>
        <v>1</v>
      </c>
      <c r="AT170" s="10"/>
      <c r="AU170" s="10">
        <f t="shared" si="186"/>
        <v>0</v>
      </c>
      <c r="AV170" s="10">
        <v>157426</v>
      </c>
      <c r="AW170" s="10">
        <f t="shared" si="187"/>
        <v>1</v>
      </c>
      <c r="AX170" s="10">
        <f t="shared" si="178"/>
        <v>39356.5</v>
      </c>
      <c r="AY170" s="10">
        <v>1</v>
      </c>
      <c r="AZ170" s="10"/>
      <c r="BA170" s="10">
        <v>0</v>
      </c>
      <c r="BB170" s="10">
        <v>0</v>
      </c>
      <c r="BC170" s="10">
        <f t="shared" si="182"/>
        <v>0</v>
      </c>
      <c r="BD170" s="10"/>
      <c r="BE170" s="26">
        <f t="shared" si="164"/>
        <v>0</v>
      </c>
      <c r="BF170" s="122">
        <f t="shared" si="164"/>
        <v>0</v>
      </c>
      <c r="BG170" s="122"/>
      <c r="BH170" s="122">
        <f t="shared" si="165"/>
        <v>0</v>
      </c>
      <c r="BI170" s="122"/>
      <c r="BJ170" s="122">
        <f t="shared" si="185"/>
        <v>0</v>
      </c>
      <c r="BK170" s="122"/>
      <c r="BL170" s="122"/>
      <c r="BM170" s="122"/>
      <c r="BN170" s="122" t="s">
        <v>1410</v>
      </c>
      <c r="BO170" s="122" t="s">
        <v>843</v>
      </c>
      <c r="BP170" s="122" t="s">
        <v>1411</v>
      </c>
      <c r="BQ170" s="122" t="s">
        <v>1412</v>
      </c>
      <c r="BR170" s="122" t="s">
        <v>1413</v>
      </c>
      <c r="BS170" s="122" t="s">
        <v>1414</v>
      </c>
      <c r="BT170" s="55" t="s">
        <v>1415</v>
      </c>
      <c r="BU170" s="29"/>
      <c r="BV170" s="29"/>
      <c r="BW170" s="29"/>
      <c r="BX170" s="29"/>
      <c r="BY170" s="29"/>
    </row>
    <row r="171" spans="1:77" s="30" customFormat="1" ht="24.75" hidden="1" customHeight="1" outlineLevel="1" x14ac:dyDescent="0.25">
      <c r="A171" s="49"/>
      <c r="B171" s="59">
        <v>22</v>
      </c>
      <c r="C171" s="122" t="s">
        <v>848</v>
      </c>
      <c r="D171" s="122" t="s">
        <v>1387</v>
      </c>
      <c r="E171" s="122">
        <v>2015</v>
      </c>
      <c r="F171" s="122">
        <v>193237</v>
      </c>
      <c r="G171" s="122">
        <v>185431</v>
      </c>
      <c r="H171" s="122"/>
      <c r="I171" s="122"/>
      <c r="J171" s="122"/>
      <c r="K171" s="122"/>
      <c r="L171" s="122"/>
      <c r="M171" s="122">
        <v>0</v>
      </c>
      <c r="N171" s="122">
        <f t="shared" si="175"/>
        <v>0</v>
      </c>
      <c r="O171" s="122">
        <v>148345</v>
      </c>
      <c r="P171" s="122">
        <v>1</v>
      </c>
      <c r="Q171" s="26">
        <v>148345</v>
      </c>
      <c r="R171" s="122">
        <v>1</v>
      </c>
      <c r="S171" s="122">
        <f t="shared" si="183"/>
        <v>148345</v>
      </c>
      <c r="T171" s="122"/>
      <c r="U171" s="26">
        <f t="shared" si="180"/>
        <v>148345</v>
      </c>
      <c r="V171" s="122">
        <f t="shared" si="170"/>
        <v>1</v>
      </c>
      <c r="W171" s="41"/>
      <c r="X171" s="122">
        <f t="shared" si="171"/>
        <v>0</v>
      </c>
      <c r="Y171" s="41">
        <v>148345</v>
      </c>
      <c r="Z171" s="122">
        <f t="shared" si="172"/>
        <v>1</v>
      </c>
      <c r="AA171" s="122">
        <v>-148345</v>
      </c>
      <c r="AB171" s="122"/>
      <c r="AC171" s="26">
        <f t="shared" si="181"/>
        <v>0</v>
      </c>
      <c r="AD171" s="122">
        <f t="shared" si="181"/>
        <v>0</v>
      </c>
      <c r="AE171" s="41"/>
      <c r="AF171" s="122">
        <f t="shared" si="173"/>
        <v>0</v>
      </c>
      <c r="AG171" s="41"/>
      <c r="AH171" s="122">
        <f t="shared" si="174"/>
        <v>0</v>
      </c>
      <c r="AI171" s="122">
        <f t="shared" si="176"/>
        <v>0</v>
      </c>
      <c r="AJ171" s="122">
        <v>1</v>
      </c>
      <c r="AK171" s="122"/>
      <c r="AL171" s="122">
        <v>0</v>
      </c>
      <c r="AM171" s="122">
        <v>0</v>
      </c>
      <c r="AN171" s="122">
        <f t="shared" si="184"/>
        <v>-148345</v>
      </c>
      <c r="AO171" s="122"/>
      <c r="AP171" s="122">
        <f t="shared" si="177"/>
        <v>148345</v>
      </c>
      <c r="AQ171" s="122"/>
      <c r="AR171" s="34">
        <f t="shared" si="179"/>
        <v>148345</v>
      </c>
      <c r="AS171" s="10">
        <f t="shared" si="179"/>
        <v>1</v>
      </c>
      <c r="AT171" s="10"/>
      <c r="AU171" s="10">
        <f t="shared" si="186"/>
        <v>0</v>
      </c>
      <c r="AV171" s="10">
        <f>98345+50000</f>
        <v>148345</v>
      </c>
      <c r="AW171" s="10">
        <f t="shared" si="187"/>
        <v>1</v>
      </c>
      <c r="AX171" s="10">
        <f t="shared" si="178"/>
        <v>37086.25</v>
      </c>
      <c r="AY171" s="10"/>
      <c r="AZ171" s="10"/>
      <c r="BA171" s="10">
        <v>0</v>
      </c>
      <c r="BB171" s="10">
        <v>0</v>
      </c>
      <c r="BC171" s="10">
        <f t="shared" si="182"/>
        <v>0</v>
      </c>
      <c r="BD171" s="10"/>
      <c r="BE171" s="26">
        <f t="shared" si="164"/>
        <v>0</v>
      </c>
      <c r="BF171" s="122">
        <f t="shared" si="164"/>
        <v>0</v>
      </c>
      <c r="BG171" s="122"/>
      <c r="BH171" s="122">
        <f t="shared" si="165"/>
        <v>0</v>
      </c>
      <c r="BI171" s="122"/>
      <c r="BJ171" s="122">
        <f t="shared" si="185"/>
        <v>0</v>
      </c>
      <c r="BK171" s="122"/>
      <c r="BL171" s="122"/>
      <c r="BM171" s="122"/>
      <c r="BN171" s="122" t="s">
        <v>1388</v>
      </c>
      <c r="BO171" s="122" t="s">
        <v>847</v>
      </c>
      <c r="BP171" s="122" t="s">
        <v>1389</v>
      </c>
      <c r="BQ171" s="122" t="s">
        <v>1390</v>
      </c>
      <c r="BR171" s="122" t="s">
        <v>1391</v>
      </c>
      <c r="BS171" s="122" t="s">
        <v>1392</v>
      </c>
      <c r="BT171" s="55" t="s">
        <v>1393</v>
      </c>
      <c r="BU171" s="29"/>
      <c r="BV171" s="29"/>
      <c r="BW171" s="29"/>
      <c r="BX171" s="29"/>
      <c r="BY171" s="29"/>
    </row>
    <row r="172" spans="1:77" s="30" customFormat="1" ht="32.25" hidden="1" customHeight="1" outlineLevel="1" x14ac:dyDescent="0.25">
      <c r="A172" s="49"/>
      <c r="B172" s="59">
        <v>23</v>
      </c>
      <c r="C172" s="122" t="s">
        <v>1379</v>
      </c>
      <c r="D172" s="122" t="s">
        <v>1380</v>
      </c>
      <c r="E172" s="122">
        <v>2015</v>
      </c>
      <c r="F172" s="122">
        <v>262074</v>
      </c>
      <c r="G172" s="122">
        <v>254738</v>
      </c>
      <c r="H172" s="122"/>
      <c r="I172" s="122"/>
      <c r="J172" s="122"/>
      <c r="K172" s="122"/>
      <c r="L172" s="122"/>
      <c r="M172" s="122">
        <v>0</v>
      </c>
      <c r="N172" s="122">
        <f t="shared" si="175"/>
        <v>0</v>
      </c>
      <c r="O172" s="122">
        <v>203790</v>
      </c>
      <c r="P172" s="122">
        <v>1</v>
      </c>
      <c r="Q172" s="26">
        <v>0</v>
      </c>
      <c r="R172" s="122">
        <v>0</v>
      </c>
      <c r="S172" s="122">
        <f t="shared" si="183"/>
        <v>0</v>
      </c>
      <c r="T172" s="122"/>
      <c r="U172" s="26">
        <f t="shared" si="180"/>
        <v>203790</v>
      </c>
      <c r="V172" s="122">
        <f t="shared" si="170"/>
        <v>1</v>
      </c>
      <c r="W172" s="41"/>
      <c r="X172" s="122">
        <f t="shared" si="171"/>
        <v>0</v>
      </c>
      <c r="Y172" s="41">
        <v>203790</v>
      </c>
      <c r="Z172" s="122">
        <f t="shared" si="172"/>
        <v>1</v>
      </c>
      <c r="AA172" s="122">
        <v>-203790</v>
      </c>
      <c r="AB172" s="122"/>
      <c r="AC172" s="26">
        <f t="shared" si="181"/>
        <v>0</v>
      </c>
      <c r="AD172" s="122">
        <f t="shared" si="181"/>
        <v>0</v>
      </c>
      <c r="AE172" s="41"/>
      <c r="AF172" s="122">
        <f t="shared" si="173"/>
        <v>0</v>
      </c>
      <c r="AG172" s="41"/>
      <c r="AH172" s="122">
        <f t="shared" si="174"/>
        <v>0</v>
      </c>
      <c r="AI172" s="122">
        <f t="shared" si="176"/>
        <v>0</v>
      </c>
      <c r="AJ172" s="122">
        <v>1</v>
      </c>
      <c r="AK172" s="122"/>
      <c r="AL172" s="122">
        <v>203790</v>
      </c>
      <c r="AM172" s="122">
        <v>1</v>
      </c>
      <c r="AN172" s="122">
        <f t="shared" si="184"/>
        <v>203790</v>
      </c>
      <c r="AO172" s="122"/>
      <c r="AP172" s="122">
        <f t="shared" si="177"/>
        <v>203790</v>
      </c>
      <c r="AQ172" s="122"/>
      <c r="AR172" s="34">
        <f t="shared" si="179"/>
        <v>0</v>
      </c>
      <c r="AS172" s="10">
        <f t="shared" si="179"/>
        <v>0</v>
      </c>
      <c r="AT172" s="10"/>
      <c r="AU172" s="10">
        <f t="shared" si="186"/>
        <v>0</v>
      </c>
      <c r="AV172" s="10"/>
      <c r="AW172" s="10">
        <f t="shared" si="187"/>
        <v>0</v>
      </c>
      <c r="AX172" s="10">
        <f t="shared" si="178"/>
        <v>0</v>
      </c>
      <c r="AY172" s="10"/>
      <c r="AZ172" s="10"/>
      <c r="BA172" s="10">
        <v>0</v>
      </c>
      <c r="BB172" s="10">
        <v>0</v>
      </c>
      <c r="BC172" s="10">
        <f t="shared" si="182"/>
        <v>0</v>
      </c>
      <c r="BD172" s="10"/>
      <c r="BE172" s="26">
        <f t="shared" si="164"/>
        <v>0</v>
      </c>
      <c r="BF172" s="122">
        <f t="shared" si="164"/>
        <v>0</v>
      </c>
      <c r="BG172" s="122"/>
      <c r="BH172" s="122">
        <f t="shared" si="165"/>
        <v>0</v>
      </c>
      <c r="BI172" s="122"/>
      <c r="BJ172" s="122">
        <f t="shared" si="185"/>
        <v>0</v>
      </c>
      <c r="BK172" s="122"/>
      <c r="BL172" s="122"/>
      <c r="BM172" s="122"/>
      <c r="BN172" s="122" t="s">
        <v>1381</v>
      </c>
      <c r="BO172" s="122" t="s">
        <v>1624</v>
      </c>
      <c r="BP172" s="122" t="s">
        <v>1382</v>
      </c>
      <c r="BQ172" s="122" t="s">
        <v>1383</v>
      </c>
      <c r="BR172" s="122" t="s">
        <v>1384</v>
      </c>
      <c r="BS172" s="122" t="s">
        <v>1385</v>
      </c>
      <c r="BT172" s="55" t="s">
        <v>1386</v>
      </c>
      <c r="BU172" s="29"/>
      <c r="BV172" s="29"/>
      <c r="BW172" s="29"/>
      <c r="BX172" s="29"/>
      <c r="BY172" s="29"/>
    </row>
    <row r="173" spans="1:77" s="30" customFormat="1" ht="48.75" hidden="1" customHeight="1" outlineLevel="1" x14ac:dyDescent="0.25">
      <c r="A173" s="49"/>
      <c r="B173" s="59">
        <v>24</v>
      </c>
      <c r="C173" s="122" t="s">
        <v>850</v>
      </c>
      <c r="D173" s="122" t="s">
        <v>1718</v>
      </c>
      <c r="E173" s="122">
        <v>2016</v>
      </c>
      <c r="F173" s="122">
        <v>233987</v>
      </c>
      <c r="G173" s="122">
        <v>226987</v>
      </c>
      <c r="H173" s="122"/>
      <c r="I173" s="122"/>
      <c r="J173" s="122"/>
      <c r="K173" s="122"/>
      <c r="L173" s="122"/>
      <c r="M173" s="122"/>
      <c r="N173" s="122">
        <f t="shared" si="175"/>
        <v>0</v>
      </c>
      <c r="O173" s="122">
        <v>0</v>
      </c>
      <c r="P173" s="122">
        <v>0</v>
      </c>
      <c r="Q173" s="26">
        <v>0</v>
      </c>
      <c r="R173" s="122">
        <v>0</v>
      </c>
      <c r="S173" s="122">
        <f t="shared" si="183"/>
        <v>0</v>
      </c>
      <c r="T173" s="122"/>
      <c r="U173" s="26">
        <f t="shared" si="180"/>
        <v>0</v>
      </c>
      <c r="V173" s="122">
        <f t="shared" si="170"/>
        <v>0</v>
      </c>
      <c r="W173" s="41"/>
      <c r="X173" s="122">
        <f t="shared" si="171"/>
        <v>0</v>
      </c>
      <c r="Y173" s="41"/>
      <c r="Z173" s="122">
        <f t="shared" si="172"/>
        <v>0</v>
      </c>
      <c r="AA173" s="122">
        <v>0</v>
      </c>
      <c r="AB173" s="122"/>
      <c r="AC173" s="26">
        <f t="shared" si="181"/>
        <v>0</v>
      </c>
      <c r="AD173" s="122">
        <f t="shared" si="181"/>
        <v>0</v>
      </c>
      <c r="AE173" s="41"/>
      <c r="AF173" s="122">
        <f t="shared" si="173"/>
        <v>0</v>
      </c>
      <c r="AG173" s="41"/>
      <c r="AH173" s="122">
        <f t="shared" si="174"/>
        <v>0</v>
      </c>
      <c r="AI173" s="122">
        <f t="shared" si="176"/>
        <v>0</v>
      </c>
      <c r="AJ173" s="122"/>
      <c r="AK173" s="122"/>
      <c r="AL173" s="122">
        <v>0</v>
      </c>
      <c r="AM173" s="122">
        <v>0</v>
      </c>
      <c r="AN173" s="122">
        <f t="shared" si="184"/>
        <v>-181590</v>
      </c>
      <c r="AO173" s="122"/>
      <c r="AP173" s="122">
        <f t="shared" si="177"/>
        <v>0</v>
      </c>
      <c r="AQ173" s="122"/>
      <c r="AR173" s="34">
        <f t="shared" si="179"/>
        <v>181590</v>
      </c>
      <c r="AS173" s="10">
        <f t="shared" si="179"/>
        <v>1</v>
      </c>
      <c r="AT173" s="10"/>
      <c r="AU173" s="10">
        <f t="shared" si="186"/>
        <v>0</v>
      </c>
      <c r="AV173" s="10">
        <v>181590</v>
      </c>
      <c r="AW173" s="10">
        <f t="shared" si="187"/>
        <v>1</v>
      </c>
      <c r="AX173" s="10">
        <f t="shared" si="178"/>
        <v>45397.5</v>
      </c>
      <c r="AY173" s="10">
        <v>1</v>
      </c>
      <c r="AZ173" s="10"/>
      <c r="BA173" s="10">
        <v>170846</v>
      </c>
      <c r="BB173" s="10">
        <v>1</v>
      </c>
      <c r="BC173" s="10">
        <f t="shared" si="182"/>
        <v>170846</v>
      </c>
      <c r="BD173" s="10"/>
      <c r="BE173" s="26">
        <f t="shared" si="164"/>
        <v>0</v>
      </c>
      <c r="BF173" s="122">
        <f t="shared" si="164"/>
        <v>0</v>
      </c>
      <c r="BG173" s="122"/>
      <c r="BH173" s="122">
        <f t="shared" si="165"/>
        <v>0</v>
      </c>
      <c r="BI173" s="122"/>
      <c r="BJ173" s="122">
        <f t="shared" si="185"/>
        <v>0</v>
      </c>
      <c r="BK173" s="122"/>
      <c r="BL173" s="122"/>
      <c r="BM173" s="122"/>
      <c r="BN173" s="122" t="s">
        <v>1796</v>
      </c>
      <c r="BO173" s="122" t="s">
        <v>1800</v>
      </c>
      <c r="BP173" s="122" t="s">
        <v>1797</v>
      </c>
      <c r="BQ173" s="122" t="s">
        <v>1798</v>
      </c>
      <c r="BR173" s="122" t="s">
        <v>1799</v>
      </c>
      <c r="BS173" s="122" t="s">
        <v>1801</v>
      </c>
      <c r="BT173" s="55" t="s">
        <v>1802</v>
      </c>
      <c r="BU173" s="29"/>
      <c r="BV173" s="29"/>
      <c r="BW173" s="29"/>
      <c r="BX173" s="29"/>
      <c r="BY173" s="29"/>
    </row>
    <row r="174" spans="1:77" s="30" customFormat="1" ht="45.75" hidden="1" customHeight="1" outlineLevel="1" x14ac:dyDescent="0.25">
      <c r="A174" s="49"/>
      <c r="B174" s="59">
        <v>25</v>
      </c>
      <c r="C174" s="122" t="s">
        <v>1423</v>
      </c>
      <c r="D174" s="122" t="s">
        <v>1424</v>
      </c>
      <c r="E174" s="122">
        <v>2015</v>
      </c>
      <c r="F174" s="122">
        <v>147025</v>
      </c>
      <c r="G174" s="122">
        <v>143048</v>
      </c>
      <c r="H174" s="122"/>
      <c r="I174" s="122"/>
      <c r="J174" s="122"/>
      <c r="K174" s="122">
        <v>1</v>
      </c>
      <c r="L174" s="122"/>
      <c r="M174" s="122">
        <v>0</v>
      </c>
      <c r="N174" s="122">
        <f t="shared" si="175"/>
        <v>0</v>
      </c>
      <c r="O174" s="122">
        <v>114438</v>
      </c>
      <c r="P174" s="122">
        <v>1</v>
      </c>
      <c r="Q174" s="26">
        <v>114438</v>
      </c>
      <c r="R174" s="122">
        <v>1</v>
      </c>
      <c r="S174" s="122">
        <f t="shared" si="183"/>
        <v>114438</v>
      </c>
      <c r="T174" s="122"/>
      <c r="U174" s="26">
        <f t="shared" si="180"/>
        <v>114438</v>
      </c>
      <c r="V174" s="122">
        <f t="shared" si="170"/>
        <v>1</v>
      </c>
      <c r="W174" s="41"/>
      <c r="X174" s="122">
        <f t="shared" si="171"/>
        <v>0</v>
      </c>
      <c r="Y174" s="41">
        <v>114438</v>
      </c>
      <c r="Z174" s="122">
        <f t="shared" si="172"/>
        <v>1</v>
      </c>
      <c r="AA174" s="122">
        <v>-114438</v>
      </c>
      <c r="AB174" s="122"/>
      <c r="AC174" s="26">
        <f t="shared" si="181"/>
        <v>0</v>
      </c>
      <c r="AD174" s="122">
        <f t="shared" si="181"/>
        <v>0</v>
      </c>
      <c r="AE174" s="41"/>
      <c r="AF174" s="122">
        <f t="shared" si="173"/>
        <v>0</v>
      </c>
      <c r="AG174" s="41"/>
      <c r="AH174" s="122">
        <f t="shared" si="174"/>
        <v>0</v>
      </c>
      <c r="AI174" s="122">
        <f t="shared" si="176"/>
        <v>0</v>
      </c>
      <c r="AJ174" s="122">
        <v>1</v>
      </c>
      <c r="AK174" s="122"/>
      <c r="AL174" s="122">
        <v>0</v>
      </c>
      <c r="AM174" s="122">
        <v>0</v>
      </c>
      <c r="AN174" s="122">
        <f t="shared" si="184"/>
        <v>0</v>
      </c>
      <c r="AO174" s="122"/>
      <c r="AP174" s="122">
        <f t="shared" si="177"/>
        <v>114438</v>
      </c>
      <c r="AQ174" s="122"/>
      <c r="AR174" s="34">
        <f t="shared" si="179"/>
        <v>0</v>
      </c>
      <c r="AS174" s="10">
        <f t="shared" si="179"/>
        <v>0</v>
      </c>
      <c r="AT174" s="10"/>
      <c r="AU174" s="10">
        <f t="shared" si="186"/>
        <v>0</v>
      </c>
      <c r="AV174" s="10"/>
      <c r="AW174" s="10">
        <v>0</v>
      </c>
      <c r="AX174" s="10">
        <f t="shared" si="178"/>
        <v>0</v>
      </c>
      <c r="AY174" s="10"/>
      <c r="AZ174" s="10"/>
      <c r="BA174" s="10">
        <v>0</v>
      </c>
      <c r="BB174" s="10">
        <v>0</v>
      </c>
      <c r="BC174" s="10">
        <f t="shared" si="182"/>
        <v>0</v>
      </c>
      <c r="BD174" s="10"/>
      <c r="BE174" s="26">
        <f t="shared" si="164"/>
        <v>0</v>
      </c>
      <c r="BF174" s="122">
        <f t="shared" si="164"/>
        <v>0</v>
      </c>
      <c r="BG174" s="122"/>
      <c r="BH174" s="122">
        <f t="shared" si="165"/>
        <v>0</v>
      </c>
      <c r="BI174" s="122"/>
      <c r="BJ174" s="122">
        <f t="shared" si="185"/>
        <v>0</v>
      </c>
      <c r="BK174" s="122"/>
      <c r="BL174" s="122"/>
      <c r="BM174" s="122"/>
      <c r="BN174" s="122" t="s">
        <v>1540</v>
      </c>
      <c r="BO174" s="122" t="s">
        <v>1625</v>
      </c>
      <c r="BP174" s="122" t="s">
        <v>1541</v>
      </c>
      <c r="BQ174" s="122" t="s">
        <v>1542</v>
      </c>
      <c r="BR174" s="122" t="s">
        <v>1543</v>
      </c>
      <c r="BS174" s="122" t="s">
        <v>1544</v>
      </c>
      <c r="BT174" s="55" t="s">
        <v>1545</v>
      </c>
      <c r="BU174" s="29"/>
      <c r="BV174" s="29"/>
      <c r="BW174" s="29"/>
      <c r="BX174" s="29"/>
      <c r="BY174" s="29"/>
    </row>
    <row r="175" spans="1:77" s="35" customFormat="1" ht="11.25" collapsed="1" x14ac:dyDescent="0.25">
      <c r="A175" s="48"/>
      <c r="B175" s="57">
        <v>3</v>
      </c>
      <c r="C175" s="26" t="s">
        <v>538</v>
      </c>
      <c r="D175" s="26"/>
      <c r="E175" s="26"/>
      <c r="F175" s="26">
        <f>F176+F183</f>
        <v>2548018.2999999998</v>
      </c>
      <c r="G175" s="26">
        <f>G176+G183</f>
        <v>2508523</v>
      </c>
      <c r="H175" s="26"/>
      <c r="I175" s="26"/>
      <c r="J175" s="26"/>
      <c r="K175" s="26"/>
      <c r="L175" s="26"/>
      <c r="M175" s="26">
        <f>M176+M183</f>
        <v>851523</v>
      </c>
      <c r="N175" s="26">
        <f>N176+N183</f>
        <v>179482.5</v>
      </c>
      <c r="O175" s="26">
        <v>1300897</v>
      </c>
      <c r="P175" s="26">
        <v>4</v>
      </c>
      <c r="Q175" s="26">
        <v>628426</v>
      </c>
      <c r="R175" s="26">
        <v>3</v>
      </c>
      <c r="S175" s="26">
        <f t="shared" ref="S175:AP175" si="188">S176+S183</f>
        <v>515186</v>
      </c>
      <c r="T175" s="26">
        <f t="shared" si="188"/>
        <v>0</v>
      </c>
      <c r="U175" s="26">
        <f t="shared" si="188"/>
        <v>628426</v>
      </c>
      <c r="V175" s="26">
        <f t="shared" si="188"/>
        <v>3</v>
      </c>
      <c r="W175" s="26">
        <f t="shared" si="188"/>
        <v>113240</v>
      </c>
      <c r="X175" s="26">
        <f t="shared" si="188"/>
        <v>1</v>
      </c>
      <c r="Y175" s="26">
        <f t="shared" si="188"/>
        <v>515186</v>
      </c>
      <c r="Z175" s="26">
        <f t="shared" si="188"/>
        <v>2</v>
      </c>
      <c r="AA175" s="26">
        <f t="shared" si="188"/>
        <v>-515186</v>
      </c>
      <c r="AB175" s="26">
        <f t="shared" si="188"/>
        <v>30346</v>
      </c>
      <c r="AC175" s="26">
        <f t="shared" si="188"/>
        <v>143586</v>
      </c>
      <c r="AD175" s="26">
        <f t="shared" si="188"/>
        <v>5</v>
      </c>
      <c r="AE175" s="26">
        <f t="shared" si="188"/>
        <v>143586</v>
      </c>
      <c r="AF175" s="26">
        <f t="shared" si="188"/>
        <v>5</v>
      </c>
      <c r="AG175" s="26">
        <f t="shared" si="188"/>
        <v>0</v>
      </c>
      <c r="AH175" s="26">
        <f t="shared" si="188"/>
        <v>0</v>
      </c>
      <c r="AI175" s="26">
        <f t="shared" si="188"/>
        <v>35896.5</v>
      </c>
      <c r="AJ175" s="67">
        <f t="shared" si="188"/>
        <v>1</v>
      </c>
      <c r="AK175" s="67">
        <f t="shared" si="188"/>
        <v>2</v>
      </c>
      <c r="AL175" s="67">
        <f t="shared" si="188"/>
        <v>595194</v>
      </c>
      <c r="AM175" s="67">
        <f t="shared" si="188"/>
        <v>2</v>
      </c>
      <c r="AN175" s="67">
        <f t="shared" si="188"/>
        <v>-530346</v>
      </c>
      <c r="AO175" s="67">
        <f t="shared" si="188"/>
        <v>0</v>
      </c>
      <c r="AP175" s="67">
        <f t="shared" si="188"/>
        <v>484840</v>
      </c>
      <c r="AQ175" s="26"/>
      <c r="AR175" s="26">
        <f t="shared" ref="AR175:AZ175" si="189">AR176+AR183</f>
        <v>1125540</v>
      </c>
      <c r="AS175" s="67">
        <f t="shared" si="189"/>
        <v>2</v>
      </c>
      <c r="AT175" s="26">
        <f t="shared" si="189"/>
        <v>30346</v>
      </c>
      <c r="AU175" s="26">
        <f t="shared" si="189"/>
        <v>1</v>
      </c>
      <c r="AV175" s="26">
        <f t="shared" si="189"/>
        <v>1095194</v>
      </c>
      <c r="AW175" s="26">
        <f t="shared" si="189"/>
        <v>2</v>
      </c>
      <c r="AX175" s="26">
        <f t="shared" si="189"/>
        <v>273798.5</v>
      </c>
      <c r="AY175" s="26">
        <f t="shared" si="189"/>
        <v>2</v>
      </c>
      <c r="AZ175" s="26">
        <f t="shared" si="189"/>
        <v>0</v>
      </c>
      <c r="BA175" s="26">
        <v>0</v>
      </c>
      <c r="BB175" s="26">
        <v>0</v>
      </c>
      <c r="BC175" s="10">
        <f t="shared" si="182"/>
        <v>0</v>
      </c>
      <c r="BD175" s="26"/>
      <c r="BE175" s="26">
        <f t="shared" ref="BE175:BT175" si="190">BE176+BE183</f>
        <v>0</v>
      </c>
      <c r="BF175" s="67">
        <f t="shared" si="190"/>
        <v>0</v>
      </c>
      <c r="BG175" s="26">
        <f t="shared" si="190"/>
        <v>0</v>
      </c>
      <c r="BH175" s="26">
        <f t="shared" si="190"/>
        <v>0</v>
      </c>
      <c r="BI175" s="26">
        <f t="shared" si="190"/>
        <v>0</v>
      </c>
      <c r="BJ175" s="26">
        <f t="shared" si="190"/>
        <v>0</v>
      </c>
      <c r="BK175" s="26">
        <f t="shared" si="190"/>
        <v>0</v>
      </c>
      <c r="BL175" s="26">
        <f t="shared" si="190"/>
        <v>0</v>
      </c>
      <c r="BM175" s="26">
        <f t="shared" si="190"/>
        <v>0</v>
      </c>
      <c r="BN175" s="26">
        <f t="shared" si="190"/>
        <v>0</v>
      </c>
      <c r="BO175" s="26">
        <f t="shared" si="190"/>
        <v>0</v>
      </c>
      <c r="BP175" s="26">
        <f t="shared" si="190"/>
        <v>0</v>
      </c>
      <c r="BQ175" s="26">
        <f t="shared" si="190"/>
        <v>0</v>
      </c>
      <c r="BR175" s="26">
        <f t="shared" si="190"/>
        <v>0</v>
      </c>
      <c r="BS175" s="26">
        <f t="shared" si="190"/>
        <v>0</v>
      </c>
      <c r="BT175" s="58">
        <f t="shared" si="190"/>
        <v>0</v>
      </c>
      <c r="BU175" s="25"/>
      <c r="BV175" s="25"/>
      <c r="BW175" s="25"/>
      <c r="BX175" s="25"/>
      <c r="BY175" s="25"/>
    </row>
    <row r="176" spans="1:77" ht="11.25" hidden="1" outlineLevel="1" x14ac:dyDescent="0.25">
      <c r="A176" s="124"/>
      <c r="B176" s="59">
        <v>2</v>
      </c>
      <c r="C176" s="122" t="s">
        <v>301</v>
      </c>
      <c r="D176" s="122"/>
      <c r="E176" s="122"/>
      <c r="F176" s="122">
        <f>SUM(F177:F182)</f>
        <v>1736344.3</v>
      </c>
      <c r="G176" s="122">
        <f>SUM(G177:G182)</f>
        <v>1712149</v>
      </c>
      <c r="H176" s="122"/>
      <c r="I176" s="122"/>
      <c r="J176" s="122"/>
      <c r="K176" s="122"/>
      <c r="L176" s="122"/>
      <c r="M176" s="122">
        <f>SUM(M177:M182)</f>
        <v>851523</v>
      </c>
      <c r="N176" s="122">
        <f>SUM(N177:N182)</f>
        <v>179482.5</v>
      </c>
      <c r="O176" s="122">
        <v>663798</v>
      </c>
      <c r="P176" s="122">
        <v>3</v>
      </c>
      <c r="Q176" s="26">
        <v>328426</v>
      </c>
      <c r="R176" s="122">
        <v>2</v>
      </c>
      <c r="S176" s="26">
        <f t="shared" ref="S176:AP176" si="191">SUM(S177:S182)</f>
        <v>215186</v>
      </c>
      <c r="T176" s="26">
        <f t="shared" si="191"/>
        <v>0</v>
      </c>
      <c r="U176" s="26">
        <f t="shared" si="191"/>
        <v>328426</v>
      </c>
      <c r="V176" s="67">
        <f t="shared" si="191"/>
        <v>2</v>
      </c>
      <c r="W176" s="67">
        <f t="shared" si="191"/>
        <v>113240</v>
      </c>
      <c r="X176" s="67">
        <f t="shared" si="191"/>
        <v>1</v>
      </c>
      <c r="Y176" s="67">
        <f t="shared" si="191"/>
        <v>215186</v>
      </c>
      <c r="Z176" s="67">
        <f t="shared" si="191"/>
        <v>1</v>
      </c>
      <c r="AA176" s="67">
        <f t="shared" si="191"/>
        <v>-215186</v>
      </c>
      <c r="AB176" s="67">
        <f t="shared" si="191"/>
        <v>30346</v>
      </c>
      <c r="AC176" s="26">
        <f t="shared" si="191"/>
        <v>143586</v>
      </c>
      <c r="AD176" s="122">
        <f t="shared" si="191"/>
        <v>5</v>
      </c>
      <c r="AE176" s="122">
        <f t="shared" si="191"/>
        <v>143586</v>
      </c>
      <c r="AF176" s="122">
        <f t="shared" si="191"/>
        <v>5</v>
      </c>
      <c r="AG176" s="122">
        <f t="shared" si="191"/>
        <v>0</v>
      </c>
      <c r="AH176" s="122">
        <f t="shared" si="191"/>
        <v>0</v>
      </c>
      <c r="AI176" s="122">
        <f t="shared" si="191"/>
        <v>35896.5</v>
      </c>
      <c r="AJ176" s="122">
        <f t="shared" si="191"/>
        <v>1</v>
      </c>
      <c r="AK176" s="122">
        <f t="shared" si="191"/>
        <v>1</v>
      </c>
      <c r="AL176" s="122">
        <f t="shared" si="191"/>
        <v>258095</v>
      </c>
      <c r="AM176" s="122">
        <f t="shared" si="191"/>
        <v>1</v>
      </c>
      <c r="AN176" s="122">
        <f t="shared" si="191"/>
        <v>-230346</v>
      </c>
      <c r="AO176" s="122">
        <f t="shared" si="191"/>
        <v>0</v>
      </c>
      <c r="AP176" s="122">
        <f t="shared" si="191"/>
        <v>184840</v>
      </c>
      <c r="AQ176" s="122"/>
      <c r="AR176" s="26">
        <f t="shared" ref="AR176:AZ176" si="192">SUM(AR177:AR182)</f>
        <v>488441</v>
      </c>
      <c r="AS176" s="122">
        <f t="shared" si="192"/>
        <v>1</v>
      </c>
      <c r="AT176" s="122">
        <f t="shared" si="192"/>
        <v>30346</v>
      </c>
      <c r="AU176" s="122">
        <f t="shared" si="192"/>
        <v>0</v>
      </c>
      <c r="AV176" s="122">
        <f t="shared" si="192"/>
        <v>458095</v>
      </c>
      <c r="AW176" s="122">
        <f t="shared" si="192"/>
        <v>1</v>
      </c>
      <c r="AX176" s="122">
        <f t="shared" si="192"/>
        <v>114523.75</v>
      </c>
      <c r="AY176" s="122">
        <f t="shared" si="192"/>
        <v>1</v>
      </c>
      <c r="AZ176" s="122">
        <f t="shared" si="192"/>
        <v>0</v>
      </c>
      <c r="BA176" s="122">
        <v>0</v>
      </c>
      <c r="BB176" s="122">
        <v>0</v>
      </c>
      <c r="BC176" s="10">
        <f t="shared" si="182"/>
        <v>0</v>
      </c>
      <c r="BD176" s="122"/>
      <c r="BE176" s="26">
        <f t="shared" ref="BE176:BT176" si="193">SUM(BE177:BE182)</f>
        <v>0</v>
      </c>
      <c r="BF176" s="122">
        <f t="shared" si="193"/>
        <v>0</v>
      </c>
      <c r="BG176" s="122">
        <f t="shared" si="193"/>
        <v>0</v>
      </c>
      <c r="BH176" s="122">
        <f t="shared" si="193"/>
        <v>0</v>
      </c>
      <c r="BI176" s="122">
        <f t="shared" si="193"/>
        <v>0</v>
      </c>
      <c r="BJ176" s="122">
        <f t="shared" si="193"/>
        <v>0</v>
      </c>
      <c r="BK176" s="122">
        <f t="shared" si="193"/>
        <v>0</v>
      </c>
      <c r="BL176" s="122">
        <f t="shared" si="193"/>
        <v>0</v>
      </c>
      <c r="BM176" s="122">
        <f t="shared" si="193"/>
        <v>0</v>
      </c>
      <c r="BN176" s="122">
        <f t="shared" si="193"/>
        <v>0</v>
      </c>
      <c r="BO176" s="122">
        <f t="shared" si="193"/>
        <v>0</v>
      </c>
      <c r="BP176" s="122">
        <f t="shared" si="193"/>
        <v>0</v>
      </c>
      <c r="BQ176" s="122">
        <f t="shared" si="193"/>
        <v>0</v>
      </c>
      <c r="BR176" s="122">
        <f t="shared" si="193"/>
        <v>0</v>
      </c>
      <c r="BS176" s="122">
        <f t="shared" si="193"/>
        <v>0</v>
      </c>
      <c r="BT176" s="55">
        <f t="shared" si="193"/>
        <v>0</v>
      </c>
    </row>
    <row r="177" spans="1:77" ht="29.25" hidden="1" customHeight="1" outlineLevel="1" x14ac:dyDescent="0.25">
      <c r="A177" s="124"/>
      <c r="B177" s="125">
        <v>1</v>
      </c>
      <c r="C177" s="122" t="s">
        <v>484</v>
      </c>
      <c r="D177" s="122" t="s">
        <v>516</v>
      </c>
      <c r="E177" s="122" t="s">
        <v>9</v>
      </c>
      <c r="F177" s="122">
        <v>353032</v>
      </c>
      <c r="G177" s="122">
        <v>348032</v>
      </c>
      <c r="H177" s="122">
        <v>329050</v>
      </c>
      <c r="I177" s="122">
        <f t="shared" ref="I177" si="194">G177-H177</f>
        <v>18982</v>
      </c>
      <c r="J177" s="122">
        <v>1</v>
      </c>
      <c r="K177" s="122"/>
      <c r="L177" s="122"/>
      <c r="M177" s="122">
        <v>187500</v>
      </c>
      <c r="N177" s="122">
        <f>AC177+AI177</f>
        <v>141550</v>
      </c>
      <c r="O177" s="122">
        <v>128426</v>
      </c>
      <c r="P177" s="122">
        <v>1</v>
      </c>
      <c r="Q177" s="26">
        <v>128426</v>
      </c>
      <c r="R177" s="122">
        <v>1</v>
      </c>
      <c r="S177" s="122">
        <f t="shared" ref="S177:S220" si="195">Q177-AC177</f>
        <v>15186</v>
      </c>
      <c r="T177" s="122"/>
      <c r="U177" s="26">
        <f t="shared" ref="U177:V177" si="196">W177+Y177</f>
        <v>113240</v>
      </c>
      <c r="V177" s="122">
        <f t="shared" si="196"/>
        <v>1</v>
      </c>
      <c r="W177" s="122">
        <v>113240</v>
      </c>
      <c r="X177" s="122">
        <f t="shared" ref="X177" si="197">IF(W177,1,0)</f>
        <v>1</v>
      </c>
      <c r="Y177" s="122"/>
      <c r="Z177" s="122">
        <f t="shared" ref="Z177" si="198">IF(Y177,1,0)</f>
        <v>0</v>
      </c>
      <c r="AA177" s="122">
        <v>0</v>
      </c>
      <c r="AB177" s="122"/>
      <c r="AC177" s="26">
        <f t="shared" ref="AC177:AD227" si="199">AE177+AG177</f>
        <v>113240</v>
      </c>
      <c r="AD177" s="122">
        <f t="shared" si="199"/>
        <v>1</v>
      </c>
      <c r="AE177" s="122">
        <f>113240</f>
        <v>113240</v>
      </c>
      <c r="AF177" s="122">
        <f t="shared" ref="AF177:AF182" si="200">IF(AE177,1,0)</f>
        <v>1</v>
      </c>
      <c r="AG177" s="122"/>
      <c r="AH177" s="122">
        <f t="shared" ref="AH177:AH182" si="201">IF(AG177,1,0)</f>
        <v>0</v>
      </c>
      <c r="AI177" s="122">
        <f>AC177/0.8*0.2</f>
        <v>28310</v>
      </c>
      <c r="AJ177" s="122">
        <v>1</v>
      </c>
      <c r="AK177" s="122"/>
      <c r="AL177" s="122">
        <v>0</v>
      </c>
      <c r="AM177" s="122">
        <v>0</v>
      </c>
      <c r="AN177" s="122">
        <f t="shared" si="184"/>
        <v>-30346</v>
      </c>
      <c r="AO177" s="122"/>
      <c r="AP177" s="122">
        <f>U177-AC177</f>
        <v>0</v>
      </c>
      <c r="AQ177" s="122"/>
      <c r="AR177" s="34">
        <f t="shared" ref="AR177:AS226" si="202">AT177+AV177</f>
        <v>30346</v>
      </c>
      <c r="AS177" s="10">
        <v>0</v>
      </c>
      <c r="AT177" s="10">
        <f>30346</f>
        <v>30346</v>
      </c>
      <c r="AU177" s="10">
        <v>0</v>
      </c>
      <c r="AV177" s="10">
        <v>0</v>
      </c>
      <c r="AW177" s="10">
        <v>0</v>
      </c>
      <c r="AX177" s="10">
        <v>0</v>
      </c>
      <c r="AY177" s="10"/>
      <c r="AZ177" s="10"/>
      <c r="BA177" s="10">
        <v>0</v>
      </c>
      <c r="BB177" s="10">
        <v>0</v>
      </c>
      <c r="BC177" s="10">
        <f t="shared" si="182"/>
        <v>0</v>
      </c>
      <c r="BD177" s="10"/>
      <c r="BE177" s="26">
        <f t="shared" ref="BE177:BF203" si="203">BG177+BI177</f>
        <v>0</v>
      </c>
      <c r="BF177" s="122">
        <f t="shared" si="203"/>
        <v>0</v>
      </c>
      <c r="BG177" s="122"/>
      <c r="BH177" s="122">
        <f t="shared" ref="BH177:BH208" si="204">IF(BG177,1,0)</f>
        <v>0</v>
      </c>
      <c r="BI177" s="122"/>
      <c r="BJ177" s="122">
        <f t="shared" ref="BJ177:BJ231" si="205">IF(BI177,1,0)</f>
        <v>0</v>
      </c>
      <c r="BK177" s="122"/>
      <c r="BL177" s="122"/>
      <c r="BM177" s="122"/>
      <c r="BN177" s="122" t="s">
        <v>507</v>
      </c>
      <c r="BO177" s="122" t="s">
        <v>1626</v>
      </c>
      <c r="BP177" s="122" t="s">
        <v>510</v>
      </c>
      <c r="BQ177" s="122" t="s">
        <v>509</v>
      </c>
      <c r="BR177" s="122" t="s">
        <v>508</v>
      </c>
      <c r="BS177" s="122" t="s">
        <v>11</v>
      </c>
      <c r="BT177" s="55" t="s">
        <v>11</v>
      </c>
    </row>
    <row r="178" spans="1:77" ht="29.25" hidden="1" customHeight="1" outlineLevel="1" x14ac:dyDescent="0.25">
      <c r="A178" s="124"/>
      <c r="B178" s="125"/>
      <c r="C178" s="112" t="s">
        <v>1984</v>
      </c>
      <c r="D178" s="122" t="s">
        <v>2071</v>
      </c>
      <c r="E178" s="122" t="s">
        <v>9</v>
      </c>
      <c r="F178" s="122">
        <v>129296</v>
      </c>
      <c r="G178" s="122">
        <v>126771</v>
      </c>
      <c r="H178" s="122"/>
      <c r="I178" s="122"/>
      <c r="J178" s="122"/>
      <c r="K178" s="122"/>
      <c r="L178" s="122"/>
      <c r="M178" s="122">
        <v>120433</v>
      </c>
      <c r="N178" s="122">
        <f t="shared" ref="N178:N182" si="206">AC178+AI178</f>
        <v>6338.75</v>
      </c>
      <c r="O178" s="122"/>
      <c r="P178" s="122"/>
      <c r="Q178" s="26"/>
      <c r="R178" s="122"/>
      <c r="S178" s="122"/>
      <c r="T178" s="122"/>
      <c r="U178" s="26"/>
      <c r="V178" s="122"/>
      <c r="W178" s="122"/>
      <c r="X178" s="122"/>
      <c r="Y178" s="122"/>
      <c r="Z178" s="122"/>
      <c r="AA178" s="122"/>
      <c r="AB178" s="122">
        <v>5071</v>
      </c>
      <c r="AC178" s="26">
        <f t="shared" si="199"/>
        <v>5071</v>
      </c>
      <c r="AD178" s="122">
        <f t="shared" si="199"/>
        <v>1</v>
      </c>
      <c r="AE178" s="122">
        <v>5071</v>
      </c>
      <c r="AF178" s="122">
        <f t="shared" si="200"/>
        <v>1</v>
      </c>
      <c r="AG178" s="122"/>
      <c r="AH178" s="122"/>
      <c r="AI178" s="122">
        <f t="shared" ref="AI178:AI184" si="207">AC178/0.8*0.2</f>
        <v>1267.75</v>
      </c>
      <c r="AJ178" s="122"/>
      <c r="AK178" s="122"/>
      <c r="AL178" s="122"/>
      <c r="AM178" s="122"/>
      <c r="AN178" s="122"/>
      <c r="AO178" s="122"/>
      <c r="AP178" s="122">
        <f t="shared" ref="AP178:AP184" si="208">U178-AC178</f>
        <v>-5071</v>
      </c>
      <c r="AQ178" s="122"/>
      <c r="AR178" s="34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26"/>
      <c r="BF178" s="122"/>
      <c r="BG178" s="122"/>
      <c r="BH178" s="122"/>
      <c r="BI178" s="122"/>
      <c r="BJ178" s="122"/>
      <c r="BK178" s="122"/>
      <c r="BL178" s="122"/>
      <c r="BM178" s="122"/>
      <c r="BN178" s="122" t="s">
        <v>1986</v>
      </c>
      <c r="BO178" s="122" t="s">
        <v>1987</v>
      </c>
      <c r="BP178" s="122" t="s">
        <v>1988</v>
      </c>
      <c r="BQ178" s="122" t="s">
        <v>1989</v>
      </c>
      <c r="BR178" s="122" t="s">
        <v>1990</v>
      </c>
      <c r="BS178" s="122" t="s">
        <v>1991</v>
      </c>
      <c r="BT178" s="55"/>
    </row>
    <row r="179" spans="1:77" ht="29.25" hidden="1" customHeight="1" outlineLevel="1" x14ac:dyDescent="0.25">
      <c r="A179" s="124"/>
      <c r="B179" s="125"/>
      <c r="C179" s="112" t="s">
        <v>1985</v>
      </c>
      <c r="D179" s="122" t="s">
        <v>2072</v>
      </c>
      <c r="E179" s="122" t="s">
        <v>9</v>
      </c>
      <c r="F179" s="122">
        <v>244882</v>
      </c>
      <c r="G179" s="122">
        <v>238709</v>
      </c>
      <c r="H179" s="122"/>
      <c r="I179" s="122"/>
      <c r="J179" s="122"/>
      <c r="K179" s="122"/>
      <c r="L179" s="122"/>
      <c r="M179" s="122">
        <v>225718</v>
      </c>
      <c r="N179" s="122">
        <f t="shared" si="206"/>
        <v>12991.25</v>
      </c>
      <c r="O179" s="122"/>
      <c r="P179" s="122"/>
      <c r="Q179" s="26"/>
      <c r="R179" s="122"/>
      <c r="S179" s="122"/>
      <c r="T179" s="122"/>
      <c r="U179" s="26"/>
      <c r="V179" s="122"/>
      <c r="W179" s="122"/>
      <c r="X179" s="122"/>
      <c r="Y179" s="122"/>
      <c r="Z179" s="122"/>
      <c r="AA179" s="122"/>
      <c r="AB179" s="122">
        <v>10393</v>
      </c>
      <c r="AC179" s="26">
        <f t="shared" si="199"/>
        <v>10393</v>
      </c>
      <c r="AD179" s="122">
        <f t="shared" si="199"/>
        <v>1</v>
      </c>
      <c r="AE179" s="122">
        <v>10393</v>
      </c>
      <c r="AF179" s="122">
        <f t="shared" si="200"/>
        <v>1</v>
      </c>
      <c r="AG179" s="122"/>
      <c r="AH179" s="122"/>
      <c r="AI179" s="122">
        <f t="shared" si="207"/>
        <v>2598.25</v>
      </c>
      <c r="AJ179" s="122"/>
      <c r="AK179" s="122"/>
      <c r="AL179" s="122"/>
      <c r="AM179" s="122"/>
      <c r="AN179" s="122"/>
      <c r="AO179" s="122"/>
      <c r="AP179" s="122">
        <f t="shared" si="208"/>
        <v>-10393</v>
      </c>
      <c r="AQ179" s="122"/>
      <c r="AR179" s="34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26"/>
      <c r="BF179" s="122"/>
      <c r="BG179" s="122"/>
      <c r="BH179" s="122"/>
      <c r="BI179" s="122"/>
      <c r="BJ179" s="122"/>
      <c r="BK179" s="122"/>
      <c r="BL179" s="122"/>
      <c r="BM179" s="122"/>
      <c r="BN179" s="122" t="s">
        <v>1992</v>
      </c>
      <c r="BO179" s="122" t="s">
        <v>1993</v>
      </c>
      <c r="BP179" s="122" t="s">
        <v>1994</v>
      </c>
      <c r="BQ179" s="122" t="s">
        <v>1995</v>
      </c>
      <c r="BR179" s="122" t="s">
        <v>1996</v>
      </c>
      <c r="BS179" s="122" t="s">
        <v>1997</v>
      </c>
      <c r="BT179" s="55"/>
    </row>
    <row r="180" spans="1:77" ht="29.25" hidden="1" customHeight="1" outlineLevel="1" x14ac:dyDescent="0.25">
      <c r="A180" s="124"/>
      <c r="B180" s="125"/>
      <c r="C180" s="112" t="s">
        <v>1998</v>
      </c>
      <c r="D180" s="122" t="s">
        <v>2073</v>
      </c>
      <c r="E180" s="122" t="s">
        <v>9</v>
      </c>
      <c r="F180" s="122">
        <v>173703</v>
      </c>
      <c r="G180" s="122">
        <v>173105</v>
      </c>
      <c r="H180" s="122"/>
      <c r="I180" s="122"/>
      <c r="J180" s="122"/>
      <c r="K180" s="122"/>
      <c r="L180" s="122"/>
      <c r="M180" s="122">
        <v>134965</v>
      </c>
      <c r="N180" s="122">
        <f t="shared" si="206"/>
        <v>6622.5</v>
      </c>
      <c r="O180" s="122"/>
      <c r="P180" s="122"/>
      <c r="Q180" s="26"/>
      <c r="R180" s="122"/>
      <c r="S180" s="122"/>
      <c r="T180" s="122"/>
      <c r="U180" s="26"/>
      <c r="V180" s="122"/>
      <c r="W180" s="122"/>
      <c r="X180" s="122"/>
      <c r="Y180" s="122"/>
      <c r="Z180" s="122"/>
      <c r="AA180" s="122"/>
      <c r="AB180" s="122">
        <v>5298</v>
      </c>
      <c r="AC180" s="26">
        <f t="shared" si="199"/>
        <v>5298</v>
      </c>
      <c r="AD180" s="122">
        <f t="shared" si="199"/>
        <v>1</v>
      </c>
      <c r="AE180" s="122">
        <v>5298</v>
      </c>
      <c r="AF180" s="122">
        <f t="shared" si="200"/>
        <v>1</v>
      </c>
      <c r="AG180" s="122"/>
      <c r="AH180" s="122"/>
      <c r="AI180" s="122">
        <f t="shared" si="207"/>
        <v>1324.5</v>
      </c>
      <c r="AJ180" s="122"/>
      <c r="AK180" s="122"/>
      <c r="AL180" s="122"/>
      <c r="AM180" s="122"/>
      <c r="AN180" s="122"/>
      <c r="AO180" s="122"/>
      <c r="AP180" s="122">
        <f t="shared" si="208"/>
        <v>-5298</v>
      </c>
      <c r="AQ180" s="122"/>
      <c r="AR180" s="34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26"/>
      <c r="BF180" s="122"/>
      <c r="BG180" s="122"/>
      <c r="BH180" s="122"/>
      <c r="BI180" s="122"/>
      <c r="BJ180" s="122"/>
      <c r="BK180" s="122"/>
      <c r="BL180" s="122"/>
      <c r="BM180" s="122"/>
      <c r="BN180" s="122" t="s">
        <v>2000</v>
      </c>
      <c r="BO180" s="122" t="s">
        <v>1987</v>
      </c>
      <c r="BP180" s="122" t="s">
        <v>2001</v>
      </c>
      <c r="BQ180" s="122" t="s">
        <v>2002</v>
      </c>
      <c r="BR180" s="122" t="s">
        <v>2003</v>
      </c>
      <c r="BS180" s="122" t="s">
        <v>2004</v>
      </c>
      <c r="BT180" s="55"/>
    </row>
    <row r="181" spans="1:77" ht="29.25" hidden="1" customHeight="1" outlineLevel="1" x14ac:dyDescent="0.25">
      <c r="A181" s="124"/>
      <c r="B181" s="125"/>
      <c r="C181" s="112" t="s">
        <v>1999</v>
      </c>
      <c r="D181" s="122" t="s">
        <v>2074</v>
      </c>
      <c r="E181" s="122" t="s">
        <v>9</v>
      </c>
      <c r="F181" s="122">
        <v>253512</v>
      </c>
      <c r="G181" s="122">
        <v>252913</v>
      </c>
      <c r="H181" s="122"/>
      <c r="I181" s="122"/>
      <c r="J181" s="122"/>
      <c r="K181" s="122"/>
      <c r="L181" s="122"/>
      <c r="M181" s="122">
        <v>182907</v>
      </c>
      <c r="N181" s="122">
        <f t="shared" si="206"/>
        <v>11980</v>
      </c>
      <c r="O181" s="122"/>
      <c r="P181" s="122"/>
      <c r="Q181" s="26"/>
      <c r="R181" s="122"/>
      <c r="S181" s="122"/>
      <c r="T181" s="122"/>
      <c r="U181" s="26"/>
      <c r="V181" s="122"/>
      <c r="W181" s="122"/>
      <c r="X181" s="122"/>
      <c r="Y181" s="122"/>
      <c r="Z181" s="122"/>
      <c r="AA181" s="122"/>
      <c r="AB181" s="122">
        <v>9584</v>
      </c>
      <c r="AC181" s="26">
        <f t="shared" si="199"/>
        <v>9584</v>
      </c>
      <c r="AD181" s="122">
        <f t="shared" si="199"/>
        <v>1</v>
      </c>
      <c r="AE181" s="122">
        <v>9584</v>
      </c>
      <c r="AF181" s="122">
        <f t="shared" si="200"/>
        <v>1</v>
      </c>
      <c r="AG181" s="122"/>
      <c r="AH181" s="122"/>
      <c r="AI181" s="122">
        <f t="shared" si="207"/>
        <v>2396</v>
      </c>
      <c r="AJ181" s="122"/>
      <c r="AK181" s="122"/>
      <c r="AL181" s="122"/>
      <c r="AM181" s="122"/>
      <c r="AN181" s="122"/>
      <c r="AO181" s="122"/>
      <c r="AP181" s="122">
        <f t="shared" si="208"/>
        <v>-9584</v>
      </c>
      <c r="AQ181" s="122"/>
      <c r="AR181" s="34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26"/>
      <c r="BF181" s="122"/>
      <c r="BG181" s="122"/>
      <c r="BH181" s="122"/>
      <c r="BI181" s="122"/>
      <c r="BJ181" s="122"/>
      <c r="BK181" s="122"/>
      <c r="BL181" s="122"/>
      <c r="BM181" s="122"/>
      <c r="BN181" s="122" t="s">
        <v>2005</v>
      </c>
      <c r="BO181" s="122" t="s">
        <v>1987</v>
      </c>
      <c r="BP181" s="122" t="s">
        <v>2006</v>
      </c>
      <c r="BQ181" s="122" t="s">
        <v>2007</v>
      </c>
      <c r="BR181" s="122" t="s">
        <v>2003</v>
      </c>
      <c r="BS181" s="122" t="s">
        <v>2008</v>
      </c>
      <c r="BT181" s="55"/>
    </row>
    <row r="182" spans="1:77" ht="37.5" hidden="1" customHeight="1" outlineLevel="1" x14ac:dyDescent="0.25">
      <c r="A182" s="124"/>
      <c r="B182" s="125">
        <v>2</v>
      </c>
      <c r="C182" s="122" t="s">
        <v>506</v>
      </c>
      <c r="D182" s="122" t="s">
        <v>518</v>
      </c>
      <c r="E182" s="122" t="s">
        <v>10</v>
      </c>
      <c r="F182" s="122">
        <v>581919.30000000005</v>
      </c>
      <c r="G182" s="122">
        <v>572619</v>
      </c>
      <c r="H182" s="122"/>
      <c r="I182" s="122"/>
      <c r="J182" s="122"/>
      <c r="K182" s="122"/>
      <c r="L182" s="122"/>
      <c r="M182" s="122">
        <v>0</v>
      </c>
      <c r="N182" s="122">
        <f t="shared" si="206"/>
        <v>0</v>
      </c>
      <c r="O182" s="122">
        <v>458095</v>
      </c>
      <c r="P182" s="122">
        <v>1</v>
      </c>
      <c r="Q182" s="26">
        <v>200000</v>
      </c>
      <c r="R182" s="122">
        <v>1</v>
      </c>
      <c r="S182" s="122">
        <f t="shared" si="195"/>
        <v>200000</v>
      </c>
      <c r="T182" s="122"/>
      <c r="U182" s="26">
        <f t="shared" ref="U182:V182" si="209">W182+Y182</f>
        <v>215186</v>
      </c>
      <c r="V182" s="122">
        <f t="shared" si="209"/>
        <v>1</v>
      </c>
      <c r="W182" s="122"/>
      <c r="X182" s="122">
        <f t="shared" ref="X182" si="210">IF(W182,1,0)</f>
        <v>0</v>
      </c>
      <c r="Y182" s="122">
        <v>215186</v>
      </c>
      <c r="Z182" s="122">
        <f t="shared" ref="Z182" si="211">IF(Y182,1,0)</f>
        <v>1</v>
      </c>
      <c r="AA182" s="122">
        <v>-215186</v>
      </c>
      <c r="AB182" s="122"/>
      <c r="AC182" s="26">
        <f t="shared" si="199"/>
        <v>0</v>
      </c>
      <c r="AD182" s="122">
        <f t="shared" si="199"/>
        <v>0</v>
      </c>
      <c r="AE182" s="122"/>
      <c r="AF182" s="122">
        <f t="shared" si="200"/>
        <v>0</v>
      </c>
      <c r="AG182" s="122"/>
      <c r="AH182" s="122">
        <f t="shared" si="201"/>
        <v>0</v>
      </c>
      <c r="AI182" s="122">
        <f t="shared" si="207"/>
        <v>0</v>
      </c>
      <c r="AJ182" s="122"/>
      <c r="AK182" s="122">
        <v>1</v>
      </c>
      <c r="AL182" s="122">
        <v>258095</v>
      </c>
      <c r="AM182" s="122">
        <v>1</v>
      </c>
      <c r="AN182" s="122">
        <f t="shared" si="184"/>
        <v>-200000</v>
      </c>
      <c r="AO182" s="122"/>
      <c r="AP182" s="122">
        <f t="shared" si="208"/>
        <v>215186</v>
      </c>
      <c r="AQ182" s="122"/>
      <c r="AR182" s="34">
        <f t="shared" si="202"/>
        <v>458095</v>
      </c>
      <c r="AS182" s="10">
        <f t="shared" si="202"/>
        <v>1</v>
      </c>
      <c r="AT182" s="10"/>
      <c r="AU182" s="10">
        <f t="shared" ref="AU182:AU245" si="212">IF(AT182,1,0)</f>
        <v>0</v>
      </c>
      <c r="AV182" s="10">
        <f>242909+215186</f>
        <v>458095</v>
      </c>
      <c r="AW182" s="10">
        <f t="shared" ref="AW182:AW245" si="213">IF(AV182,1,0)</f>
        <v>1</v>
      </c>
      <c r="AX182" s="10">
        <f>AR182/0.8*0.2</f>
        <v>114523.75</v>
      </c>
      <c r="AY182" s="10">
        <v>1</v>
      </c>
      <c r="AZ182" s="10"/>
      <c r="BA182" s="10">
        <v>0</v>
      </c>
      <c r="BB182" s="10">
        <v>0</v>
      </c>
      <c r="BC182" s="10">
        <f t="shared" si="182"/>
        <v>0</v>
      </c>
      <c r="BD182" s="10"/>
      <c r="BE182" s="26">
        <f t="shared" si="203"/>
        <v>0</v>
      </c>
      <c r="BF182" s="122">
        <f t="shared" si="203"/>
        <v>0</v>
      </c>
      <c r="BG182" s="122"/>
      <c r="BH182" s="122">
        <f t="shared" si="204"/>
        <v>0</v>
      </c>
      <c r="BI182" s="122"/>
      <c r="BJ182" s="122">
        <f t="shared" si="205"/>
        <v>0</v>
      </c>
      <c r="BK182" s="122"/>
      <c r="BL182" s="122"/>
      <c r="BM182" s="122"/>
      <c r="BN182" s="122" t="s">
        <v>511</v>
      </c>
      <c r="BO182" s="122" t="s">
        <v>1627</v>
      </c>
      <c r="BP182" s="122" t="s">
        <v>517</v>
      </c>
      <c r="BQ182" s="122" t="s">
        <v>513</v>
      </c>
      <c r="BR182" s="122" t="s">
        <v>512</v>
      </c>
      <c r="BS182" s="122" t="s">
        <v>11</v>
      </c>
      <c r="BT182" s="55" t="s">
        <v>11</v>
      </c>
    </row>
    <row r="183" spans="1:77" ht="11.25" hidden="1" outlineLevel="1" x14ac:dyDescent="0.25">
      <c r="A183" s="124"/>
      <c r="B183" s="59">
        <v>1</v>
      </c>
      <c r="C183" s="122" t="s">
        <v>8</v>
      </c>
      <c r="D183" s="122"/>
      <c r="E183" s="122"/>
      <c r="F183" s="122">
        <f t="shared" ref="F183:BM183" si="214">F184</f>
        <v>811674</v>
      </c>
      <c r="G183" s="122">
        <f t="shared" si="214"/>
        <v>796374</v>
      </c>
      <c r="H183" s="122"/>
      <c r="I183" s="122"/>
      <c r="J183" s="122"/>
      <c r="K183" s="122"/>
      <c r="L183" s="122"/>
      <c r="M183" s="122">
        <f t="shared" si="214"/>
        <v>0</v>
      </c>
      <c r="N183" s="122">
        <f t="shared" si="214"/>
        <v>0</v>
      </c>
      <c r="O183" s="122">
        <v>637099</v>
      </c>
      <c r="P183" s="122">
        <v>1</v>
      </c>
      <c r="Q183" s="26">
        <v>300000</v>
      </c>
      <c r="R183" s="122">
        <v>1</v>
      </c>
      <c r="S183" s="122">
        <f t="shared" si="195"/>
        <v>300000</v>
      </c>
      <c r="T183" s="122"/>
      <c r="U183" s="26">
        <f t="shared" si="214"/>
        <v>300000</v>
      </c>
      <c r="V183" s="67">
        <f t="shared" si="214"/>
        <v>1</v>
      </c>
      <c r="W183" s="67">
        <f t="shared" si="214"/>
        <v>0</v>
      </c>
      <c r="X183" s="67">
        <f t="shared" si="214"/>
        <v>0</v>
      </c>
      <c r="Y183" s="67">
        <f t="shared" si="214"/>
        <v>300000</v>
      </c>
      <c r="Z183" s="67">
        <f t="shared" si="214"/>
        <v>1</v>
      </c>
      <c r="AA183" s="67">
        <f t="shared" si="214"/>
        <v>-300000</v>
      </c>
      <c r="AB183" s="67">
        <f t="shared" si="214"/>
        <v>0</v>
      </c>
      <c r="AC183" s="26">
        <f t="shared" si="214"/>
        <v>0</v>
      </c>
      <c r="AD183" s="122">
        <f t="shared" si="214"/>
        <v>0</v>
      </c>
      <c r="AE183" s="122">
        <f t="shared" si="214"/>
        <v>0</v>
      </c>
      <c r="AF183" s="122">
        <f t="shared" si="214"/>
        <v>0</v>
      </c>
      <c r="AG183" s="122">
        <f t="shared" si="214"/>
        <v>0</v>
      </c>
      <c r="AH183" s="122">
        <f t="shared" si="214"/>
        <v>0</v>
      </c>
      <c r="AI183" s="122">
        <f t="shared" si="214"/>
        <v>0</v>
      </c>
      <c r="AJ183" s="122">
        <f t="shared" si="214"/>
        <v>0</v>
      </c>
      <c r="AK183" s="122">
        <f t="shared" si="214"/>
        <v>1</v>
      </c>
      <c r="AL183" s="122">
        <f t="shared" si="214"/>
        <v>337099</v>
      </c>
      <c r="AM183" s="122">
        <f t="shared" si="214"/>
        <v>1</v>
      </c>
      <c r="AN183" s="122">
        <f t="shared" si="214"/>
        <v>-300000</v>
      </c>
      <c r="AO183" s="122">
        <f t="shared" si="214"/>
        <v>0</v>
      </c>
      <c r="AP183" s="122">
        <f t="shared" si="214"/>
        <v>300000</v>
      </c>
      <c r="AQ183" s="122"/>
      <c r="AR183" s="26">
        <f t="shared" si="214"/>
        <v>637099</v>
      </c>
      <c r="AS183" s="122">
        <f t="shared" si="214"/>
        <v>1</v>
      </c>
      <c r="AT183" s="122">
        <f t="shared" si="214"/>
        <v>0</v>
      </c>
      <c r="AU183" s="122">
        <f t="shared" si="214"/>
        <v>1</v>
      </c>
      <c r="AV183" s="122">
        <f t="shared" si="214"/>
        <v>637099</v>
      </c>
      <c r="AW183" s="122">
        <f t="shared" si="214"/>
        <v>1</v>
      </c>
      <c r="AX183" s="122">
        <f t="shared" si="214"/>
        <v>159274.75</v>
      </c>
      <c r="AY183" s="122">
        <f t="shared" si="214"/>
        <v>1</v>
      </c>
      <c r="AZ183" s="122">
        <f t="shared" si="214"/>
        <v>0</v>
      </c>
      <c r="BA183" s="122">
        <v>0</v>
      </c>
      <c r="BB183" s="122">
        <v>0</v>
      </c>
      <c r="BC183" s="10">
        <f t="shared" si="182"/>
        <v>0</v>
      </c>
      <c r="BD183" s="122"/>
      <c r="BE183" s="26">
        <f t="shared" si="214"/>
        <v>0</v>
      </c>
      <c r="BF183" s="122">
        <f t="shared" si="214"/>
        <v>0</v>
      </c>
      <c r="BG183" s="122">
        <f t="shared" si="214"/>
        <v>0</v>
      </c>
      <c r="BH183" s="122">
        <f t="shared" si="214"/>
        <v>0</v>
      </c>
      <c r="BI183" s="122">
        <f t="shared" si="214"/>
        <v>0</v>
      </c>
      <c r="BJ183" s="122">
        <f t="shared" si="214"/>
        <v>0</v>
      </c>
      <c r="BK183" s="122">
        <f t="shared" si="214"/>
        <v>0</v>
      </c>
      <c r="BL183" s="122">
        <f t="shared" si="214"/>
        <v>0</v>
      </c>
      <c r="BM183" s="122">
        <f t="shared" si="214"/>
        <v>0</v>
      </c>
      <c r="BN183" s="122"/>
      <c r="BO183" s="122"/>
      <c r="BP183" s="122"/>
      <c r="BQ183" s="122"/>
      <c r="BR183" s="122"/>
      <c r="BS183" s="122"/>
      <c r="BT183" s="55"/>
    </row>
    <row r="184" spans="1:77" ht="33" hidden="1" customHeight="1" outlineLevel="1" x14ac:dyDescent="0.25">
      <c r="A184" s="124"/>
      <c r="B184" s="125">
        <v>1</v>
      </c>
      <c r="C184" s="67" t="s">
        <v>1474</v>
      </c>
      <c r="D184" s="122" t="s">
        <v>520</v>
      </c>
      <c r="E184" s="122" t="s">
        <v>10</v>
      </c>
      <c r="F184" s="122">
        <v>811674</v>
      </c>
      <c r="G184" s="122">
        <v>796374</v>
      </c>
      <c r="H184" s="122"/>
      <c r="I184" s="122"/>
      <c r="J184" s="122"/>
      <c r="K184" s="122"/>
      <c r="L184" s="122"/>
      <c r="M184" s="122">
        <v>0</v>
      </c>
      <c r="N184" s="122">
        <f>AC184+AI184</f>
        <v>0</v>
      </c>
      <c r="O184" s="122">
        <v>637099</v>
      </c>
      <c r="P184" s="122">
        <v>1</v>
      </c>
      <c r="Q184" s="26">
        <v>300000</v>
      </c>
      <c r="R184" s="122">
        <v>1</v>
      </c>
      <c r="S184" s="122">
        <f t="shared" si="195"/>
        <v>300000</v>
      </c>
      <c r="T184" s="122"/>
      <c r="U184" s="26">
        <f t="shared" ref="U184:V184" si="215">W184+Y184</f>
        <v>300000</v>
      </c>
      <c r="V184" s="122">
        <f t="shared" si="215"/>
        <v>1</v>
      </c>
      <c r="W184" s="122"/>
      <c r="X184" s="122">
        <f t="shared" ref="X184" si="216">IF(W184,1,0)</f>
        <v>0</v>
      </c>
      <c r="Y184" s="122">
        <v>300000</v>
      </c>
      <c r="Z184" s="122">
        <f t="shared" ref="Z184" si="217">IF(Y184,1,0)</f>
        <v>1</v>
      </c>
      <c r="AA184" s="122">
        <v>-300000</v>
      </c>
      <c r="AB184" s="122"/>
      <c r="AC184" s="26">
        <f t="shared" si="199"/>
        <v>0</v>
      </c>
      <c r="AD184" s="122">
        <f t="shared" si="199"/>
        <v>0</v>
      </c>
      <c r="AE184" s="122"/>
      <c r="AF184" s="122">
        <f t="shared" ref="AF184" si="218">IF(AE184,1,0)</f>
        <v>0</v>
      </c>
      <c r="AG184" s="122"/>
      <c r="AH184" s="122">
        <f t="shared" ref="AH184" si="219">IF(AG184,1,0)</f>
        <v>0</v>
      </c>
      <c r="AI184" s="122">
        <f t="shared" si="207"/>
        <v>0</v>
      </c>
      <c r="AJ184" s="122"/>
      <c r="AK184" s="122">
        <v>1</v>
      </c>
      <c r="AL184" s="122">
        <v>337099</v>
      </c>
      <c r="AM184" s="122">
        <v>1</v>
      </c>
      <c r="AN184" s="122">
        <f t="shared" si="184"/>
        <v>-300000</v>
      </c>
      <c r="AO184" s="122"/>
      <c r="AP184" s="122">
        <f t="shared" si="208"/>
        <v>300000</v>
      </c>
      <c r="AQ184" s="122"/>
      <c r="AR184" s="34">
        <f t="shared" si="202"/>
        <v>637099</v>
      </c>
      <c r="AS184" s="10">
        <v>1</v>
      </c>
      <c r="AT184" s="10"/>
      <c r="AU184" s="10">
        <v>1</v>
      </c>
      <c r="AV184" s="10">
        <f>337099+300000</f>
        <v>637099</v>
      </c>
      <c r="AW184" s="10">
        <f t="shared" si="213"/>
        <v>1</v>
      </c>
      <c r="AX184" s="10">
        <f>AR184/0.8*0.2</f>
        <v>159274.75</v>
      </c>
      <c r="AY184" s="10">
        <v>1</v>
      </c>
      <c r="AZ184" s="10"/>
      <c r="BA184" s="10">
        <v>0</v>
      </c>
      <c r="BB184" s="10">
        <v>0</v>
      </c>
      <c r="BC184" s="10">
        <f t="shared" si="182"/>
        <v>0</v>
      </c>
      <c r="BD184" s="10"/>
      <c r="BE184" s="26">
        <f t="shared" si="203"/>
        <v>0</v>
      </c>
      <c r="BF184" s="122">
        <f t="shared" si="203"/>
        <v>0</v>
      </c>
      <c r="BG184" s="122"/>
      <c r="BH184" s="122">
        <f t="shared" si="204"/>
        <v>0</v>
      </c>
      <c r="BI184" s="122"/>
      <c r="BJ184" s="122">
        <f t="shared" si="205"/>
        <v>0</v>
      </c>
      <c r="BK184" s="122"/>
      <c r="BL184" s="122"/>
      <c r="BM184" s="122"/>
      <c r="BN184" s="122" t="s">
        <v>514</v>
      </c>
      <c r="BO184" s="122" t="s">
        <v>1628</v>
      </c>
      <c r="BP184" s="122" t="s">
        <v>519</v>
      </c>
      <c r="BQ184" s="122" t="s">
        <v>515</v>
      </c>
      <c r="BR184" s="122" t="s">
        <v>521</v>
      </c>
      <c r="BS184" s="122" t="s">
        <v>11</v>
      </c>
      <c r="BT184" s="55" t="s">
        <v>11</v>
      </c>
    </row>
    <row r="185" spans="1:77" s="35" customFormat="1" ht="11.25" collapsed="1" x14ac:dyDescent="0.25">
      <c r="A185" s="48"/>
      <c r="B185" s="60">
        <v>17</v>
      </c>
      <c r="C185" s="26" t="s">
        <v>1430</v>
      </c>
      <c r="D185" s="26"/>
      <c r="E185" s="26"/>
      <c r="F185" s="26">
        <f>F186+F207</f>
        <v>18685359</v>
      </c>
      <c r="G185" s="26">
        <f>G186+G207</f>
        <v>18367768.899999999</v>
      </c>
      <c r="H185" s="26"/>
      <c r="I185" s="26"/>
      <c r="J185" s="26"/>
      <c r="K185" s="26"/>
      <c r="L185" s="26"/>
      <c r="M185" s="26">
        <f>M186+M207</f>
        <v>7385402</v>
      </c>
      <c r="N185" s="26">
        <f>N186+N207</f>
        <v>4687331.111111111</v>
      </c>
      <c r="O185" s="26">
        <v>7125416</v>
      </c>
      <c r="P185" s="26">
        <v>17</v>
      </c>
      <c r="Q185" s="26">
        <v>5013409</v>
      </c>
      <c r="R185" s="26">
        <v>12</v>
      </c>
      <c r="S185" s="26">
        <f t="shared" ref="S185:AZ185" si="220">S186+S207</f>
        <v>942408</v>
      </c>
      <c r="T185" s="26">
        <f t="shared" si="220"/>
        <v>0</v>
      </c>
      <c r="U185" s="26">
        <f t="shared" si="220"/>
        <v>4693409</v>
      </c>
      <c r="V185" s="26">
        <f t="shared" si="220"/>
        <v>12</v>
      </c>
      <c r="W185" s="26">
        <f t="shared" si="220"/>
        <v>3950235</v>
      </c>
      <c r="X185" s="26">
        <f t="shared" si="220"/>
        <v>9</v>
      </c>
      <c r="Y185" s="26">
        <f t="shared" si="220"/>
        <v>743174</v>
      </c>
      <c r="Z185" s="26">
        <f t="shared" si="220"/>
        <v>3</v>
      </c>
      <c r="AA185" s="26">
        <f t="shared" si="220"/>
        <v>-743174</v>
      </c>
      <c r="AB185" s="26">
        <f t="shared" si="220"/>
        <v>268363</v>
      </c>
      <c r="AC185" s="26">
        <f t="shared" si="220"/>
        <v>4218598</v>
      </c>
      <c r="AD185" s="26">
        <f t="shared" si="220"/>
        <v>13</v>
      </c>
      <c r="AE185" s="26">
        <f t="shared" si="220"/>
        <v>4218598</v>
      </c>
      <c r="AF185" s="26">
        <f t="shared" si="220"/>
        <v>13</v>
      </c>
      <c r="AG185" s="26">
        <f t="shared" si="220"/>
        <v>0</v>
      </c>
      <c r="AH185" s="26">
        <f t="shared" si="220"/>
        <v>0</v>
      </c>
      <c r="AI185" s="26">
        <f t="shared" si="220"/>
        <v>468733.11111111112</v>
      </c>
      <c r="AJ185" s="67">
        <f t="shared" si="220"/>
        <v>7</v>
      </c>
      <c r="AK185" s="67">
        <f t="shared" si="220"/>
        <v>5</v>
      </c>
      <c r="AL185" s="67">
        <f t="shared" si="220"/>
        <v>4524278</v>
      </c>
      <c r="AM185" s="67">
        <f t="shared" si="220"/>
        <v>9</v>
      </c>
      <c r="AN185" s="67">
        <f t="shared" si="220"/>
        <v>-1850762</v>
      </c>
      <c r="AO185" s="67">
        <f t="shared" si="220"/>
        <v>0</v>
      </c>
      <c r="AP185" s="67">
        <f t="shared" si="220"/>
        <v>474811</v>
      </c>
      <c r="AQ185" s="67">
        <f t="shared" si="220"/>
        <v>0</v>
      </c>
      <c r="AR185" s="26">
        <f t="shared" si="220"/>
        <v>6375040</v>
      </c>
      <c r="AS185" s="67">
        <f t="shared" si="220"/>
        <v>12</v>
      </c>
      <c r="AT185" s="26">
        <f t="shared" si="220"/>
        <v>4962606</v>
      </c>
      <c r="AU185" s="26">
        <f t="shared" si="220"/>
        <v>7</v>
      </c>
      <c r="AV185" s="26">
        <f t="shared" si="220"/>
        <v>1412434</v>
      </c>
      <c r="AW185" s="26">
        <f t="shared" si="220"/>
        <v>5</v>
      </c>
      <c r="AX185" s="26">
        <f t="shared" si="220"/>
        <v>708337.77777777764</v>
      </c>
      <c r="AY185" s="26">
        <f t="shared" si="220"/>
        <v>10</v>
      </c>
      <c r="AZ185" s="26">
        <f t="shared" si="220"/>
        <v>0</v>
      </c>
      <c r="BA185" s="26">
        <v>3558263</v>
      </c>
      <c r="BB185" s="26">
        <v>11</v>
      </c>
      <c r="BC185" s="10">
        <f t="shared" si="182"/>
        <v>3558263</v>
      </c>
      <c r="BD185" s="26"/>
      <c r="BE185" s="26">
        <f t="shared" ref="BE185:BT185" si="221">BE186+BE207</f>
        <v>0</v>
      </c>
      <c r="BF185" s="67">
        <f t="shared" si="221"/>
        <v>0</v>
      </c>
      <c r="BG185" s="26">
        <f t="shared" si="221"/>
        <v>0</v>
      </c>
      <c r="BH185" s="26">
        <f t="shared" si="221"/>
        <v>0</v>
      </c>
      <c r="BI185" s="26">
        <f t="shared" si="221"/>
        <v>0</v>
      </c>
      <c r="BJ185" s="26">
        <f t="shared" si="221"/>
        <v>0</v>
      </c>
      <c r="BK185" s="26">
        <f t="shared" si="221"/>
        <v>0</v>
      </c>
      <c r="BL185" s="26">
        <f t="shared" si="221"/>
        <v>0</v>
      </c>
      <c r="BM185" s="26">
        <f t="shared" si="221"/>
        <v>0</v>
      </c>
      <c r="BN185" s="26">
        <f t="shared" si="221"/>
        <v>0</v>
      </c>
      <c r="BO185" s="26">
        <f t="shared" si="221"/>
        <v>0</v>
      </c>
      <c r="BP185" s="26">
        <f t="shared" si="221"/>
        <v>0</v>
      </c>
      <c r="BQ185" s="26">
        <f t="shared" si="221"/>
        <v>0</v>
      </c>
      <c r="BR185" s="26">
        <f t="shared" si="221"/>
        <v>0</v>
      </c>
      <c r="BS185" s="26">
        <f t="shared" si="221"/>
        <v>0</v>
      </c>
      <c r="BT185" s="58">
        <f t="shared" si="221"/>
        <v>0</v>
      </c>
      <c r="BU185" s="25"/>
      <c r="BV185" s="25"/>
      <c r="BW185" s="25"/>
      <c r="BX185" s="25"/>
      <c r="BY185" s="25"/>
    </row>
    <row r="186" spans="1:77" ht="11.25" hidden="1" outlineLevel="1" x14ac:dyDescent="0.25">
      <c r="A186" s="124"/>
      <c r="B186" s="125">
        <v>16</v>
      </c>
      <c r="C186" s="122" t="s">
        <v>198</v>
      </c>
      <c r="D186" s="122"/>
      <c r="E186" s="122"/>
      <c r="F186" s="122">
        <f>SUM(F187:F206)</f>
        <v>17115625</v>
      </c>
      <c r="G186" s="122">
        <f>SUM(G187:G206)</f>
        <v>16807236.899999999</v>
      </c>
      <c r="H186" s="122"/>
      <c r="I186" s="122"/>
      <c r="J186" s="122"/>
      <c r="K186" s="122"/>
      <c r="L186" s="122"/>
      <c r="M186" s="122">
        <f>SUM(M187:M206)</f>
        <v>6885402</v>
      </c>
      <c r="N186" s="122">
        <f>SUM(N187:N206)</f>
        <v>4191553.3333333335</v>
      </c>
      <c r="O186" s="122">
        <v>6170937</v>
      </c>
      <c r="P186" s="122">
        <v>16</v>
      </c>
      <c r="Q186" s="26">
        <v>4158930</v>
      </c>
      <c r="R186" s="122">
        <v>11</v>
      </c>
      <c r="S186" s="26">
        <f t="shared" ref="S186:AZ186" si="222">SUM(S187:S206)</f>
        <v>534129</v>
      </c>
      <c r="T186" s="26">
        <f t="shared" si="222"/>
        <v>0</v>
      </c>
      <c r="U186" s="26">
        <f t="shared" si="222"/>
        <v>4247209</v>
      </c>
      <c r="V186" s="67">
        <f t="shared" si="222"/>
        <v>11</v>
      </c>
      <c r="W186" s="67">
        <f t="shared" si="222"/>
        <v>3504035</v>
      </c>
      <c r="X186" s="67">
        <f t="shared" si="222"/>
        <v>8</v>
      </c>
      <c r="Y186" s="67">
        <f t="shared" si="222"/>
        <v>743174</v>
      </c>
      <c r="Z186" s="67">
        <f t="shared" si="222"/>
        <v>3</v>
      </c>
      <c r="AA186" s="67">
        <f t="shared" si="222"/>
        <v>-743174</v>
      </c>
      <c r="AB186" s="67">
        <f t="shared" si="222"/>
        <v>268363</v>
      </c>
      <c r="AC186" s="26">
        <f t="shared" si="222"/>
        <v>3772398</v>
      </c>
      <c r="AD186" s="122">
        <f t="shared" si="222"/>
        <v>12</v>
      </c>
      <c r="AE186" s="122">
        <f t="shared" si="222"/>
        <v>3772398</v>
      </c>
      <c r="AF186" s="122">
        <f t="shared" si="222"/>
        <v>12</v>
      </c>
      <c r="AG186" s="122">
        <f t="shared" si="222"/>
        <v>0</v>
      </c>
      <c r="AH186" s="122">
        <f t="shared" si="222"/>
        <v>0</v>
      </c>
      <c r="AI186" s="122">
        <f t="shared" si="222"/>
        <v>419155.33333333331</v>
      </c>
      <c r="AJ186" s="122">
        <f t="shared" si="222"/>
        <v>7</v>
      </c>
      <c r="AK186" s="122">
        <f t="shared" si="222"/>
        <v>4</v>
      </c>
      <c r="AL186" s="122">
        <f t="shared" si="222"/>
        <v>4424278</v>
      </c>
      <c r="AM186" s="122">
        <f t="shared" si="222"/>
        <v>8</v>
      </c>
      <c r="AN186" s="122">
        <f t="shared" si="222"/>
        <v>-1160762</v>
      </c>
      <c r="AO186" s="122">
        <f t="shared" si="222"/>
        <v>0</v>
      </c>
      <c r="AP186" s="122">
        <f t="shared" si="222"/>
        <v>474811</v>
      </c>
      <c r="AQ186" s="122">
        <f t="shared" si="222"/>
        <v>0</v>
      </c>
      <c r="AR186" s="26">
        <f t="shared" si="222"/>
        <v>5585040</v>
      </c>
      <c r="AS186" s="122">
        <f t="shared" si="222"/>
        <v>11</v>
      </c>
      <c r="AT186" s="122">
        <f t="shared" si="222"/>
        <v>4172606</v>
      </c>
      <c r="AU186" s="122">
        <f t="shared" si="222"/>
        <v>6</v>
      </c>
      <c r="AV186" s="122">
        <f t="shared" si="222"/>
        <v>1412434</v>
      </c>
      <c r="AW186" s="122">
        <f t="shared" si="222"/>
        <v>5</v>
      </c>
      <c r="AX186" s="122">
        <f t="shared" si="222"/>
        <v>620559.99999999988</v>
      </c>
      <c r="AY186" s="122">
        <f t="shared" si="222"/>
        <v>9</v>
      </c>
      <c r="AZ186" s="122">
        <f t="shared" si="222"/>
        <v>0</v>
      </c>
      <c r="BA186" s="122">
        <v>3028263</v>
      </c>
      <c r="BB186" s="122">
        <v>10</v>
      </c>
      <c r="BC186" s="10">
        <f t="shared" si="182"/>
        <v>3028263</v>
      </c>
      <c r="BD186" s="122"/>
      <c r="BE186" s="26">
        <f t="shared" ref="BE186:BT186" si="223">SUM(BE187:BE206)</f>
        <v>0</v>
      </c>
      <c r="BF186" s="122">
        <f t="shared" si="223"/>
        <v>0</v>
      </c>
      <c r="BG186" s="122">
        <f t="shared" si="223"/>
        <v>0</v>
      </c>
      <c r="BH186" s="122">
        <f t="shared" si="223"/>
        <v>0</v>
      </c>
      <c r="BI186" s="122">
        <f t="shared" si="223"/>
        <v>0</v>
      </c>
      <c r="BJ186" s="122">
        <f t="shared" si="223"/>
        <v>0</v>
      </c>
      <c r="BK186" s="122">
        <f t="shared" si="223"/>
        <v>0</v>
      </c>
      <c r="BL186" s="122">
        <f t="shared" si="223"/>
        <v>0</v>
      </c>
      <c r="BM186" s="122">
        <f t="shared" si="223"/>
        <v>0</v>
      </c>
      <c r="BN186" s="122">
        <f t="shared" si="223"/>
        <v>0</v>
      </c>
      <c r="BO186" s="122">
        <f t="shared" si="223"/>
        <v>0</v>
      </c>
      <c r="BP186" s="122">
        <f t="shared" si="223"/>
        <v>0</v>
      </c>
      <c r="BQ186" s="122">
        <f t="shared" si="223"/>
        <v>0</v>
      </c>
      <c r="BR186" s="122">
        <f t="shared" si="223"/>
        <v>0</v>
      </c>
      <c r="BS186" s="122">
        <f t="shared" si="223"/>
        <v>0</v>
      </c>
      <c r="BT186" s="55">
        <f t="shared" si="223"/>
        <v>0</v>
      </c>
    </row>
    <row r="187" spans="1:77" ht="70.5" hidden="1" customHeight="1" outlineLevel="1" x14ac:dyDescent="0.25">
      <c r="A187" s="124"/>
      <c r="B187" s="59">
        <v>1</v>
      </c>
      <c r="C187" s="122" t="s">
        <v>1294</v>
      </c>
      <c r="D187" s="122" t="s">
        <v>1475</v>
      </c>
      <c r="E187" s="122" t="s">
        <v>196</v>
      </c>
      <c r="F187" s="122">
        <v>1516698</v>
      </c>
      <c r="G187" s="122">
        <v>1486969</v>
      </c>
      <c r="H187" s="122">
        <v>1444989</v>
      </c>
      <c r="I187" s="122">
        <f t="shared" ref="I187:I194" si="224">G187-H187</f>
        <v>41980</v>
      </c>
      <c r="J187" s="122">
        <v>1</v>
      </c>
      <c r="K187" s="122">
        <v>1</v>
      </c>
      <c r="L187" s="122"/>
      <c r="M187" s="122">
        <v>800000</v>
      </c>
      <c r="N187" s="122">
        <f>AC187+AI187</f>
        <v>644988.88888888888</v>
      </c>
      <c r="O187" s="122">
        <v>718272</v>
      </c>
      <c r="P187" s="122">
        <v>1</v>
      </c>
      <c r="Q187" s="26">
        <v>718272</v>
      </c>
      <c r="R187" s="122">
        <v>1</v>
      </c>
      <c r="S187" s="122">
        <f t="shared" si="195"/>
        <v>137782</v>
      </c>
      <c r="T187" s="122"/>
      <c r="U187" s="26">
        <f t="shared" ref="U187:V194" si="225">W187+Y187</f>
        <v>580490</v>
      </c>
      <c r="V187" s="122">
        <f t="shared" si="225"/>
        <v>1</v>
      </c>
      <c r="W187" s="122">
        <v>580490</v>
      </c>
      <c r="X187" s="122">
        <f t="shared" ref="X187:X194" si="226">IF(W187,1,0)</f>
        <v>1</v>
      </c>
      <c r="Y187" s="122"/>
      <c r="Z187" s="122">
        <f t="shared" ref="Z187:Z194" si="227">IF(Y187,1,0)</f>
        <v>0</v>
      </c>
      <c r="AA187" s="122">
        <v>0</v>
      </c>
      <c r="AB187" s="122"/>
      <c r="AC187" s="26">
        <f t="shared" si="199"/>
        <v>580490</v>
      </c>
      <c r="AD187" s="122">
        <f t="shared" si="199"/>
        <v>1</v>
      </c>
      <c r="AE187" s="122">
        <v>580490</v>
      </c>
      <c r="AF187" s="122">
        <f t="shared" ref="AF187:AF206" si="228">IF(AE187,1,0)</f>
        <v>1</v>
      </c>
      <c r="AG187" s="122"/>
      <c r="AH187" s="122">
        <f t="shared" ref="AH187:AH206" si="229">IF(AG187,1,0)</f>
        <v>0</v>
      </c>
      <c r="AI187" s="122">
        <f>AC187/0.9*0.1</f>
        <v>64498.888888888891</v>
      </c>
      <c r="AJ187" s="122">
        <v>1</v>
      </c>
      <c r="AK187" s="122"/>
      <c r="AL187" s="122">
        <v>0</v>
      </c>
      <c r="AM187" s="122">
        <v>0</v>
      </c>
      <c r="AN187" s="122">
        <f t="shared" si="184"/>
        <v>0</v>
      </c>
      <c r="AO187" s="122"/>
      <c r="AP187" s="122">
        <f>U187-AC187</f>
        <v>0</v>
      </c>
      <c r="AQ187" s="122"/>
      <c r="AR187" s="34">
        <f t="shared" si="202"/>
        <v>0</v>
      </c>
      <c r="AS187" s="10">
        <v>0</v>
      </c>
      <c r="AT187" s="10">
        <v>0</v>
      </c>
      <c r="AU187" s="10">
        <v>0</v>
      </c>
      <c r="AV187" s="10">
        <v>0</v>
      </c>
      <c r="AW187" s="10">
        <v>0</v>
      </c>
      <c r="AX187" s="10">
        <v>0</v>
      </c>
      <c r="AY187" s="10"/>
      <c r="AZ187" s="10"/>
      <c r="BA187" s="10">
        <v>0</v>
      </c>
      <c r="BB187" s="10">
        <v>0</v>
      </c>
      <c r="BC187" s="10">
        <f t="shared" si="182"/>
        <v>0</v>
      </c>
      <c r="BD187" s="10"/>
      <c r="BE187" s="26">
        <f t="shared" si="203"/>
        <v>0</v>
      </c>
      <c r="BF187" s="122">
        <f t="shared" si="203"/>
        <v>0</v>
      </c>
      <c r="BG187" s="122"/>
      <c r="BH187" s="122">
        <f t="shared" si="204"/>
        <v>0</v>
      </c>
      <c r="BI187" s="122"/>
      <c r="BJ187" s="122">
        <f t="shared" si="205"/>
        <v>0</v>
      </c>
      <c r="BK187" s="122"/>
      <c r="BL187" s="122"/>
      <c r="BM187" s="122"/>
      <c r="BN187" s="122" t="s">
        <v>337</v>
      </c>
      <c r="BO187" s="122" t="s">
        <v>1629</v>
      </c>
      <c r="BP187" s="122" t="s">
        <v>338</v>
      </c>
      <c r="BQ187" s="122" t="s">
        <v>11</v>
      </c>
      <c r="BR187" s="122" t="s">
        <v>982</v>
      </c>
      <c r="BS187" s="122" t="s">
        <v>11</v>
      </c>
      <c r="BT187" s="55" t="s">
        <v>1630</v>
      </c>
    </row>
    <row r="188" spans="1:77" ht="47.25" hidden="1" customHeight="1" outlineLevel="1" x14ac:dyDescent="0.25">
      <c r="A188" s="124"/>
      <c r="B188" s="59">
        <v>2</v>
      </c>
      <c r="C188" s="122" t="s">
        <v>302</v>
      </c>
      <c r="D188" s="122" t="s">
        <v>303</v>
      </c>
      <c r="E188" s="122" t="s">
        <v>1370</v>
      </c>
      <c r="F188" s="122">
        <v>3337510</v>
      </c>
      <c r="G188" s="122">
        <v>3336598</v>
      </c>
      <c r="H188" s="122">
        <v>2982960</v>
      </c>
      <c r="I188" s="122">
        <f t="shared" si="224"/>
        <v>353638</v>
      </c>
      <c r="J188" s="122">
        <v>1</v>
      </c>
      <c r="K188" s="122"/>
      <c r="L188" s="122"/>
      <c r="M188" s="122">
        <v>1388889</v>
      </c>
      <c r="N188" s="122">
        <f t="shared" ref="N188:N206" si="230">AC188+AI188</f>
        <v>586492.22222222225</v>
      </c>
      <c r="O188" s="122">
        <v>810000</v>
      </c>
      <c r="P188" s="122">
        <v>1</v>
      </c>
      <c r="Q188" s="26">
        <v>510000</v>
      </c>
      <c r="R188" s="122">
        <v>1</v>
      </c>
      <c r="S188" s="122">
        <f t="shared" si="195"/>
        <v>-17843</v>
      </c>
      <c r="T188" s="122"/>
      <c r="U188" s="26">
        <f t="shared" si="225"/>
        <v>510000</v>
      </c>
      <c r="V188" s="122">
        <f t="shared" si="225"/>
        <v>1</v>
      </c>
      <c r="W188" s="122">
        <f>810000-300000</f>
        <v>510000</v>
      </c>
      <c r="X188" s="122">
        <f t="shared" si="226"/>
        <v>1</v>
      </c>
      <c r="Y188" s="122"/>
      <c r="Z188" s="122">
        <f t="shared" si="227"/>
        <v>0</v>
      </c>
      <c r="AA188" s="122"/>
      <c r="AB188" s="122">
        <v>17843</v>
      </c>
      <c r="AC188" s="26">
        <f t="shared" si="199"/>
        <v>527843</v>
      </c>
      <c r="AD188" s="122">
        <f t="shared" si="199"/>
        <v>1</v>
      </c>
      <c r="AE188" s="122">
        <f>810000-300000+35439-17596</f>
        <v>527843</v>
      </c>
      <c r="AF188" s="122">
        <f t="shared" si="228"/>
        <v>1</v>
      </c>
      <c r="AG188" s="122"/>
      <c r="AH188" s="122">
        <f t="shared" si="229"/>
        <v>0</v>
      </c>
      <c r="AI188" s="122">
        <f t="shared" ref="AI188:AI206" si="231">AC188/0.9*0.1</f>
        <v>58649.222222222226</v>
      </c>
      <c r="AJ188" s="122"/>
      <c r="AK188" s="122">
        <v>1</v>
      </c>
      <c r="AL188" s="122">
        <v>1242938</v>
      </c>
      <c r="AM188" s="122">
        <v>1</v>
      </c>
      <c r="AN188" s="122">
        <f t="shared" si="184"/>
        <v>0</v>
      </c>
      <c r="AO188" s="122"/>
      <c r="AP188" s="122">
        <f t="shared" ref="AP188:AP208" si="232">U188-AC188</f>
        <v>-17843</v>
      </c>
      <c r="AQ188" s="122"/>
      <c r="AR188" s="34">
        <f t="shared" si="202"/>
        <v>1242938</v>
      </c>
      <c r="AS188" s="10">
        <f t="shared" si="202"/>
        <v>1</v>
      </c>
      <c r="AT188" s="10">
        <f>942938+300000</f>
        <v>1242938</v>
      </c>
      <c r="AU188" s="10">
        <f t="shared" si="212"/>
        <v>1</v>
      </c>
      <c r="AV188" s="10"/>
      <c r="AW188" s="10">
        <f t="shared" si="213"/>
        <v>0</v>
      </c>
      <c r="AX188" s="10">
        <f>AR188/0.9*0.1</f>
        <v>138104.22222222222</v>
      </c>
      <c r="AY188" s="10">
        <v>1</v>
      </c>
      <c r="AZ188" s="10"/>
      <c r="BA188" s="10">
        <v>0</v>
      </c>
      <c r="BB188" s="10">
        <v>0</v>
      </c>
      <c r="BC188" s="10">
        <f t="shared" si="182"/>
        <v>0</v>
      </c>
      <c r="BD188" s="10"/>
      <c r="BE188" s="26">
        <f t="shared" si="203"/>
        <v>0</v>
      </c>
      <c r="BF188" s="122">
        <f t="shared" si="203"/>
        <v>0</v>
      </c>
      <c r="BG188" s="122"/>
      <c r="BH188" s="122">
        <f t="shared" si="204"/>
        <v>0</v>
      </c>
      <c r="BI188" s="122"/>
      <c r="BJ188" s="122">
        <f t="shared" si="205"/>
        <v>0</v>
      </c>
      <c r="BK188" s="122"/>
      <c r="BL188" s="122"/>
      <c r="BM188" s="122"/>
      <c r="BN188" s="122" t="s">
        <v>371</v>
      </c>
      <c r="BO188" s="122" t="s">
        <v>1631</v>
      </c>
      <c r="BP188" s="122" t="s">
        <v>1004</v>
      </c>
      <c r="BQ188" s="122" t="s">
        <v>1005</v>
      </c>
      <c r="BR188" s="122" t="s">
        <v>1632</v>
      </c>
      <c r="BS188" s="122" t="s">
        <v>11</v>
      </c>
      <c r="BT188" s="55" t="s">
        <v>1003</v>
      </c>
    </row>
    <row r="189" spans="1:77" ht="48" hidden="1" customHeight="1" outlineLevel="1" x14ac:dyDescent="0.25">
      <c r="A189" s="124"/>
      <c r="B189" s="59">
        <v>3</v>
      </c>
      <c r="C189" s="122" t="s">
        <v>304</v>
      </c>
      <c r="D189" s="122" t="s">
        <v>1476</v>
      </c>
      <c r="E189" s="122" t="s">
        <v>196</v>
      </c>
      <c r="F189" s="122">
        <v>1969634</v>
      </c>
      <c r="G189" s="122">
        <v>1945070</v>
      </c>
      <c r="H189" s="122">
        <v>1937470</v>
      </c>
      <c r="I189" s="122">
        <f t="shared" si="224"/>
        <v>7600</v>
      </c>
      <c r="J189" s="122">
        <v>1</v>
      </c>
      <c r="K189" s="122">
        <v>1</v>
      </c>
      <c r="L189" s="122"/>
      <c r="M189" s="122">
        <v>1138109</v>
      </c>
      <c r="N189" s="122">
        <f t="shared" si="230"/>
        <v>799361.11111111112</v>
      </c>
      <c r="O189" s="122">
        <v>560281</v>
      </c>
      <c r="P189" s="122">
        <v>1</v>
      </c>
      <c r="Q189" s="26">
        <v>560281</v>
      </c>
      <c r="R189" s="122">
        <v>1</v>
      </c>
      <c r="S189" s="122">
        <f t="shared" si="195"/>
        <v>-159144</v>
      </c>
      <c r="T189" s="122"/>
      <c r="U189" s="26">
        <f t="shared" si="225"/>
        <v>693442</v>
      </c>
      <c r="V189" s="122">
        <f t="shared" si="225"/>
        <v>1</v>
      </c>
      <c r="W189" s="122">
        <v>693442</v>
      </c>
      <c r="X189" s="122">
        <f t="shared" si="226"/>
        <v>1</v>
      </c>
      <c r="Y189" s="122"/>
      <c r="Z189" s="122">
        <f t="shared" si="227"/>
        <v>0</v>
      </c>
      <c r="AA189" s="122"/>
      <c r="AB189" s="122">
        <v>25983</v>
      </c>
      <c r="AC189" s="26">
        <f t="shared" si="199"/>
        <v>719425</v>
      </c>
      <c r="AD189" s="122">
        <f t="shared" si="199"/>
        <v>1</v>
      </c>
      <c r="AE189" s="122">
        <f>693442+25983</f>
        <v>719425</v>
      </c>
      <c r="AF189" s="122">
        <f t="shared" si="228"/>
        <v>1</v>
      </c>
      <c r="AG189" s="122"/>
      <c r="AH189" s="122">
        <f t="shared" si="229"/>
        <v>0</v>
      </c>
      <c r="AI189" s="122">
        <f t="shared" si="231"/>
        <v>79936.111111111124</v>
      </c>
      <c r="AJ189" s="122">
        <v>1</v>
      </c>
      <c r="AK189" s="122"/>
      <c r="AL189" s="122">
        <v>0</v>
      </c>
      <c r="AM189" s="122">
        <v>0</v>
      </c>
      <c r="AN189" s="122">
        <f t="shared" si="184"/>
        <v>-376646</v>
      </c>
      <c r="AO189" s="122"/>
      <c r="AP189" s="122">
        <f t="shared" si="232"/>
        <v>-25983</v>
      </c>
      <c r="AQ189" s="122"/>
      <c r="AR189" s="34">
        <f t="shared" si="202"/>
        <v>376646</v>
      </c>
      <c r="AS189" s="10">
        <f t="shared" si="202"/>
        <v>1</v>
      </c>
      <c r="AT189" s="10">
        <f>286102-35439+25983+100000</f>
        <v>376646</v>
      </c>
      <c r="AU189" s="10">
        <f t="shared" si="212"/>
        <v>1</v>
      </c>
      <c r="AV189" s="10"/>
      <c r="AW189" s="10">
        <f t="shared" si="213"/>
        <v>0</v>
      </c>
      <c r="AX189" s="10">
        <f>AR189/0.9*0.1</f>
        <v>41849.555555555562</v>
      </c>
      <c r="AY189" s="10"/>
      <c r="AZ189" s="10"/>
      <c r="BA189" s="10">
        <v>0</v>
      </c>
      <c r="BB189" s="10">
        <v>0</v>
      </c>
      <c r="BC189" s="10">
        <f t="shared" si="182"/>
        <v>0</v>
      </c>
      <c r="BD189" s="10"/>
      <c r="BE189" s="26">
        <f t="shared" si="203"/>
        <v>0</v>
      </c>
      <c r="BF189" s="122">
        <f t="shared" si="203"/>
        <v>0</v>
      </c>
      <c r="BG189" s="122"/>
      <c r="BH189" s="122">
        <f t="shared" si="204"/>
        <v>0</v>
      </c>
      <c r="BI189" s="122"/>
      <c r="BJ189" s="122">
        <f t="shared" si="205"/>
        <v>0</v>
      </c>
      <c r="BK189" s="122"/>
      <c r="BL189" s="122"/>
      <c r="BM189" s="122"/>
      <c r="BN189" s="122" t="s">
        <v>909</v>
      </c>
      <c r="BO189" s="122" t="s">
        <v>1633</v>
      </c>
      <c r="BP189" s="122" t="s">
        <v>1009</v>
      </c>
      <c r="BQ189" s="122" t="s">
        <v>1007</v>
      </c>
      <c r="BR189" s="122" t="s">
        <v>1006</v>
      </c>
      <c r="BS189" s="122" t="s">
        <v>11</v>
      </c>
      <c r="BT189" s="55" t="s">
        <v>1008</v>
      </c>
    </row>
    <row r="190" spans="1:77" ht="45" hidden="1" customHeight="1" outlineLevel="1" x14ac:dyDescent="0.25">
      <c r="A190" s="124"/>
      <c r="B190" s="59">
        <v>4</v>
      </c>
      <c r="C190" s="122" t="s">
        <v>305</v>
      </c>
      <c r="D190" s="122" t="s">
        <v>1154</v>
      </c>
      <c r="E190" s="122" t="s">
        <v>9</v>
      </c>
      <c r="F190" s="122">
        <v>368105</v>
      </c>
      <c r="G190" s="122">
        <v>361910</v>
      </c>
      <c r="H190" s="122">
        <v>357455</v>
      </c>
      <c r="I190" s="122">
        <f t="shared" si="224"/>
        <v>4455</v>
      </c>
      <c r="J190" s="122">
        <v>1</v>
      </c>
      <c r="K190" s="122">
        <v>1</v>
      </c>
      <c r="L190" s="122"/>
      <c r="M190" s="122">
        <v>166667</v>
      </c>
      <c r="N190" s="122">
        <f t="shared" si="230"/>
        <v>146344.44444444444</v>
      </c>
      <c r="O190" s="122">
        <v>174747</v>
      </c>
      <c r="P190" s="122">
        <v>1</v>
      </c>
      <c r="Q190" s="26">
        <v>174747</v>
      </c>
      <c r="R190" s="122">
        <v>1</v>
      </c>
      <c r="S190" s="122">
        <f t="shared" si="195"/>
        <v>43037</v>
      </c>
      <c r="T190" s="122"/>
      <c r="U190" s="26">
        <f t="shared" si="225"/>
        <v>131710</v>
      </c>
      <c r="V190" s="122">
        <f t="shared" si="225"/>
        <v>1</v>
      </c>
      <c r="W190" s="122">
        <v>131710</v>
      </c>
      <c r="X190" s="122">
        <f t="shared" si="226"/>
        <v>1</v>
      </c>
      <c r="Y190" s="122"/>
      <c r="Z190" s="122">
        <f t="shared" si="227"/>
        <v>0</v>
      </c>
      <c r="AA190" s="122">
        <v>0</v>
      </c>
      <c r="AB190" s="122"/>
      <c r="AC190" s="26">
        <f t="shared" si="199"/>
        <v>131710</v>
      </c>
      <c r="AD190" s="122">
        <f t="shared" si="199"/>
        <v>1</v>
      </c>
      <c r="AE190" s="122">
        <v>131710</v>
      </c>
      <c r="AF190" s="122">
        <f t="shared" si="228"/>
        <v>1</v>
      </c>
      <c r="AG190" s="122"/>
      <c r="AH190" s="122">
        <f t="shared" si="229"/>
        <v>0</v>
      </c>
      <c r="AI190" s="122">
        <f t="shared" si="231"/>
        <v>14634.444444444445</v>
      </c>
      <c r="AJ190" s="122">
        <v>1</v>
      </c>
      <c r="AK190" s="122"/>
      <c r="AL190" s="122">
        <v>0</v>
      </c>
      <c r="AM190" s="122">
        <v>0</v>
      </c>
      <c r="AN190" s="122">
        <f t="shared" si="184"/>
        <v>0</v>
      </c>
      <c r="AO190" s="122"/>
      <c r="AP190" s="122">
        <f t="shared" si="232"/>
        <v>0</v>
      </c>
      <c r="AQ190" s="122"/>
      <c r="AR190" s="34">
        <f t="shared" si="202"/>
        <v>0</v>
      </c>
      <c r="AS190" s="10">
        <f t="shared" si="202"/>
        <v>0</v>
      </c>
      <c r="AT190" s="10"/>
      <c r="AU190" s="10">
        <f t="shared" si="212"/>
        <v>0</v>
      </c>
      <c r="AV190" s="10"/>
      <c r="AW190" s="10">
        <f t="shared" si="213"/>
        <v>0</v>
      </c>
      <c r="AX190" s="10">
        <f t="shared" ref="AX190:AX191" si="233">AR190/0.9*0.1</f>
        <v>0</v>
      </c>
      <c r="AY190" s="10"/>
      <c r="AZ190" s="10"/>
      <c r="BA190" s="10">
        <v>0</v>
      </c>
      <c r="BB190" s="10">
        <v>0</v>
      </c>
      <c r="BC190" s="10">
        <f t="shared" si="182"/>
        <v>0</v>
      </c>
      <c r="BD190" s="10"/>
      <c r="BE190" s="26">
        <f t="shared" si="203"/>
        <v>0</v>
      </c>
      <c r="BF190" s="122">
        <f t="shared" si="203"/>
        <v>0</v>
      </c>
      <c r="BG190" s="122"/>
      <c r="BH190" s="122">
        <f t="shared" si="204"/>
        <v>0</v>
      </c>
      <c r="BI190" s="122"/>
      <c r="BJ190" s="122">
        <f t="shared" si="205"/>
        <v>0</v>
      </c>
      <c r="BK190" s="122"/>
      <c r="BL190" s="122"/>
      <c r="BM190" s="122"/>
      <c r="BN190" s="122" t="s">
        <v>910</v>
      </c>
      <c r="BO190" s="122" t="s">
        <v>1629</v>
      </c>
      <c r="BP190" s="122" t="s">
        <v>1634</v>
      </c>
      <c r="BQ190" s="122" t="s">
        <v>984</v>
      </c>
      <c r="BR190" s="122" t="s">
        <v>983</v>
      </c>
      <c r="BS190" s="122" t="s">
        <v>11</v>
      </c>
      <c r="BT190" s="55" t="s">
        <v>11</v>
      </c>
    </row>
    <row r="191" spans="1:77" ht="55.5" hidden="1" customHeight="1" outlineLevel="1" x14ac:dyDescent="0.25">
      <c r="A191" s="124"/>
      <c r="B191" s="59">
        <v>5</v>
      </c>
      <c r="C191" s="13" t="s">
        <v>306</v>
      </c>
      <c r="D191" s="122" t="s">
        <v>1155</v>
      </c>
      <c r="E191" s="122" t="s">
        <v>9</v>
      </c>
      <c r="F191" s="122">
        <v>1173387</v>
      </c>
      <c r="G191" s="122">
        <v>1150648</v>
      </c>
      <c r="H191" s="122">
        <v>1150057</v>
      </c>
      <c r="I191" s="122">
        <f t="shared" si="224"/>
        <v>591</v>
      </c>
      <c r="J191" s="122">
        <v>1</v>
      </c>
      <c r="K191" s="122">
        <v>1</v>
      </c>
      <c r="L191" s="122"/>
      <c r="M191" s="122">
        <v>269014</v>
      </c>
      <c r="N191" s="122">
        <f t="shared" si="230"/>
        <v>881043.33333333337</v>
      </c>
      <c r="O191" s="122">
        <v>793470</v>
      </c>
      <c r="P191" s="122">
        <v>1</v>
      </c>
      <c r="Q191" s="26">
        <v>793470</v>
      </c>
      <c r="R191" s="122">
        <v>1</v>
      </c>
      <c r="S191" s="122">
        <f t="shared" si="195"/>
        <v>531</v>
      </c>
      <c r="T191" s="122"/>
      <c r="U191" s="26">
        <f t="shared" si="225"/>
        <v>792939</v>
      </c>
      <c r="V191" s="122">
        <f t="shared" si="225"/>
        <v>1</v>
      </c>
      <c r="W191" s="122">
        <v>792939</v>
      </c>
      <c r="X191" s="122">
        <f t="shared" si="226"/>
        <v>1</v>
      </c>
      <c r="Y191" s="122"/>
      <c r="Z191" s="122">
        <f t="shared" si="227"/>
        <v>0</v>
      </c>
      <c r="AA191" s="122">
        <v>0</v>
      </c>
      <c r="AB191" s="122"/>
      <c r="AC191" s="26">
        <f t="shared" si="199"/>
        <v>792939</v>
      </c>
      <c r="AD191" s="122">
        <f t="shared" si="199"/>
        <v>1</v>
      </c>
      <c r="AE191" s="122">
        <f>792939</f>
        <v>792939</v>
      </c>
      <c r="AF191" s="122">
        <f t="shared" si="228"/>
        <v>1</v>
      </c>
      <c r="AG191" s="122"/>
      <c r="AH191" s="122">
        <f t="shared" si="229"/>
        <v>0</v>
      </c>
      <c r="AI191" s="122">
        <f t="shared" si="231"/>
        <v>88104.333333333328</v>
      </c>
      <c r="AJ191" s="122">
        <v>1</v>
      </c>
      <c r="AK191" s="122"/>
      <c r="AL191" s="122">
        <v>0</v>
      </c>
      <c r="AM191" s="122">
        <v>0</v>
      </c>
      <c r="AN191" s="122">
        <f t="shared" si="184"/>
        <v>-500000</v>
      </c>
      <c r="AO191" s="122"/>
      <c r="AP191" s="122">
        <f t="shared" si="232"/>
        <v>0</v>
      </c>
      <c r="AQ191" s="122"/>
      <c r="AR191" s="34">
        <f t="shared" si="202"/>
        <v>500000</v>
      </c>
      <c r="AS191" s="10">
        <f t="shared" si="202"/>
        <v>1</v>
      </c>
      <c r="AT191" s="10">
        <f>500000</f>
        <v>500000</v>
      </c>
      <c r="AU191" s="10">
        <f t="shared" si="212"/>
        <v>1</v>
      </c>
      <c r="AV191" s="10"/>
      <c r="AW191" s="10">
        <f t="shared" si="213"/>
        <v>0</v>
      </c>
      <c r="AX191" s="10">
        <f t="shared" si="233"/>
        <v>55555.555555555555</v>
      </c>
      <c r="AY191" s="10"/>
      <c r="AZ191" s="10"/>
      <c r="BA191" s="10">
        <v>0</v>
      </c>
      <c r="BB191" s="10">
        <v>0</v>
      </c>
      <c r="BC191" s="10">
        <f t="shared" si="182"/>
        <v>0</v>
      </c>
      <c r="BD191" s="10"/>
      <c r="BE191" s="26">
        <f t="shared" si="203"/>
        <v>0</v>
      </c>
      <c r="BF191" s="122">
        <f t="shared" si="203"/>
        <v>0</v>
      </c>
      <c r="BG191" s="122"/>
      <c r="BH191" s="122">
        <f t="shared" si="204"/>
        <v>0</v>
      </c>
      <c r="BI191" s="122"/>
      <c r="BJ191" s="122">
        <f t="shared" si="205"/>
        <v>0</v>
      </c>
      <c r="BK191" s="122"/>
      <c r="BL191" s="122"/>
      <c r="BM191" s="122"/>
      <c r="BN191" s="122" t="s">
        <v>1635</v>
      </c>
      <c r="BO191" s="122" t="s">
        <v>1636</v>
      </c>
      <c r="BP191" s="122" t="s">
        <v>1637</v>
      </c>
      <c r="BQ191" s="122" t="s">
        <v>1001</v>
      </c>
      <c r="BR191" s="122" t="s">
        <v>1002</v>
      </c>
      <c r="BS191" s="122" t="s">
        <v>11</v>
      </c>
      <c r="BT191" s="55" t="s">
        <v>11</v>
      </c>
    </row>
    <row r="192" spans="1:77" ht="48.75" hidden="1" customHeight="1" outlineLevel="1" x14ac:dyDescent="0.25">
      <c r="A192" s="124"/>
      <c r="B192" s="59">
        <v>6</v>
      </c>
      <c r="C192" s="13" t="s">
        <v>307</v>
      </c>
      <c r="D192" s="13" t="s">
        <v>308</v>
      </c>
      <c r="E192" s="122" t="s">
        <v>9</v>
      </c>
      <c r="F192" s="122">
        <v>574098</v>
      </c>
      <c r="G192" s="122">
        <v>562025</v>
      </c>
      <c r="H192" s="122">
        <v>562024</v>
      </c>
      <c r="I192" s="122">
        <f t="shared" si="224"/>
        <v>1</v>
      </c>
      <c r="J192" s="122">
        <v>1</v>
      </c>
      <c r="K192" s="122">
        <v>1</v>
      </c>
      <c r="L192" s="122"/>
      <c r="M192" s="122">
        <v>117909</v>
      </c>
      <c r="N192" s="122">
        <f t="shared" si="230"/>
        <v>444116.66666666669</v>
      </c>
      <c r="O192" s="122">
        <v>335823</v>
      </c>
      <c r="P192" s="122">
        <v>1</v>
      </c>
      <c r="Q192" s="26">
        <v>335823</v>
      </c>
      <c r="R192" s="122">
        <v>1</v>
      </c>
      <c r="S192" s="122">
        <f t="shared" si="195"/>
        <v>-63882</v>
      </c>
      <c r="T192" s="122"/>
      <c r="U192" s="26">
        <f t="shared" si="225"/>
        <v>335823</v>
      </c>
      <c r="V192" s="122">
        <f t="shared" si="225"/>
        <v>1</v>
      </c>
      <c r="W192" s="122">
        <v>335823</v>
      </c>
      <c r="X192" s="122">
        <f t="shared" si="226"/>
        <v>1</v>
      </c>
      <c r="Y192" s="122"/>
      <c r="Z192" s="122">
        <f t="shared" si="227"/>
        <v>0</v>
      </c>
      <c r="AA192" s="122"/>
      <c r="AB192" s="122">
        <v>63882</v>
      </c>
      <c r="AC192" s="26">
        <f t="shared" si="199"/>
        <v>399705</v>
      </c>
      <c r="AD192" s="122">
        <f t="shared" si="199"/>
        <v>1</v>
      </c>
      <c r="AE192" s="122">
        <f>335823+63882</f>
        <v>399705</v>
      </c>
      <c r="AF192" s="122">
        <f t="shared" si="228"/>
        <v>1</v>
      </c>
      <c r="AG192" s="122"/>
      <c r="AH192" s="122">
        <f t="shared" si="229"/>
        <v>0</v>
      </c>
      <c r="AI192" s="122">
        <f t="shared" si="231"/>
        <v>44411.666666666664</v>
      </c>
      <c r="AJ192" s="122">
        <v>1</v>
      </c>
      <c r="AK192" s="122"/>
      <c r="AL192" s="122">
        <v>0</v>
      </c>
      <c r="AM192" s="122">
        <v>0</v>
      </c>
      <c r="AN192" s="122">
        <f t="shared" si="184"/>
        <v>0</v>
      </c>
      <c r="AO192" s="122"/>
      <c r="AP192" s="122">
        <f t="shared" si="232"/>
        <v>-63882</v>
      </c>
      <c r="AQ192" s="122"/>
      <c r="AR192" s="34">
        <f t="shared" si="202"/>
        <v>0</v>
      </c>
      <c r="AS192" s="10">
        <f t="shared" si="202"/>
        <v>0</v>
      </c>
      <c r="AT192" s="10"/>
      <c r="AU192" s="10">
        <f t="shared" si="212"/>
        <v>0</v>
      </c>
      <c r="AV192" s="10"/>
      <c r="AW192" s="10">
        <f t="shared" si="213"/>
        <v>0</v>
      </c>
      <c r="AX192" s="10"/>
      <c r="AY192" s="10"/>
      <c r="AZ192" s="10"/>
      <c r="BA192" s="10">
        <v>0</v>
      </c>
      <c r="BB192" s="10">
        <v>0</v>
      </c>
      <c r="BC192" s="10">
        <f t="shared" si="182"/>
        <v>0</v>
      </c>
      <c r="BD192" s="10"/>
      <c r="BE192" s="26">
        <f t="shared" si="203"/>
        <v>0</v>
      </c>
      <c r="BF192" s="122">
        <f t="shared" si="203"/>
        <v>0</v>
      </c>
      <c r="BG192" s="122"/>
      <c r="BH192" s="122">
        <f t="shared" si="204"/>
        <v>0</v>
      </c>
      <c r="BI192" s="122"/>
      <c r="BJ192" s="122">
        <f t="shared" si="205"/>
        <v>0</v>
      </c>
      <c r="BK192" s="122"/>
      <c r="BL192" s="122"/>
      <c r="BM192" s="122"/>
      <c r="BN192" s="122" t="s">
        <v>911</v>
      </c>
      <c r="BO192" s="122" t="s">
        <v>1638</v>
      </c>
      <c r="BP192" s="122" t="s">
        <v>1000</v>
      </c>
      <c r="BQ192" s="122" t="s">
        <v>997</v>
      </c>
      <c r="BR192" s="122" t="s">
        <v>996</v>
      </c>
      <c r="BS192" s="122" t="s">
        <v>999</v>
      </c>
      <c r="BT192" s="55" t="s">
        <v>998</v>
      </c>
    </row>
    <row r="193" spans="1:72" ht="41.25" hidden="1" customHeight="1" outlineLevel="1" x14ac:dyDescent="0.25">
      <c r="A193" s="124"/>
      <c r="B193" s="59">
        <v>7</v>
      </c>
      <c r="C193" s="122" t="s">
        <v>1156</v>
      </c>
      <c r="D193" s="122" t="s">
        <v>1477</v>
      </c>
      <c r="E193" s="122" t="s">
        <v>196</v>
      </c>
      <c r="F193" s="122">
        <v>578650</v>
      </c>
      <c r="G193" s="122">
        <v>568690</v>
      </c>
      <c r="H193" s="122">
        <v>538832</v>
      </c>
      <c r="I193" s="122">
        <f t="shared" si="224"/>
        <v>29858</v>
      </c>
      <c r="J193" s="122">
        <v>1</v>
      </c>
      <c r="K193" s="122">
        <v>1</v>
      </c>
      <c r="L193" s="122"/>
      <c r="M193" s="122">
        <v>209164</v>
      </c>
      <c r="N193" s="122">
        <f t="shared" si="230"/>
        <v>331118.88888888888</v>
      </c>
      <c r="O193" s="122">
        <v>311821</v>
      </c>
      <c r="P193" s="122">
        <v>1</v>
      </c>
      <c r="Q193" s="26">
        <v>311821</v>
      </c>
      <c r="R193" s="122">
        <v>1</v>
      </c>
      <c r="S193" s="122">
        <f t="shared" si="195"/>
        <v>13814</v>
      </c>
      <c r="T193" s="122"/>
      <c r="U193" s="26">
        <f t="shared" si="225"/>
        <v>284949</v>
      </c>
      <c r="V193" s="122">
        <f t="shared" si="225"/>
        <v>1</v>
      </c>
      <c r="W193" s="122">
        <v>284949</v>
      </c>
      <c r="X193" s="122">
        <f t="shared" si="226"/>
        <v>1</v>
      </c>
      <c r="Y193" s="122"/>
      <c r="Z193" s="122">
        <f t="shared" si="227"/>
        <v>0</v>
      </c>
      <c r="AA193" s="122"/>
      <c r="AB193" s="122">
        <v>13058</v>
      </c>
      <c r="AC193" s="26">
        <f t="shared" si="199"/>
        <v>298007</v>
      </c>
      <c r="AD193" s="122">
        <f t="shared" si="199"/>
        <v>1</v>
      </c>
      <c r="AE193" s="122">
        <f>284949+13058</f>
        <v>298007</v>
      </c>
      <c r="AF193" s="122">
        <f t="shared" si="228"/>
        <v>1</v>
      </c>
      <c r="AG193" s="122"/>
      <c r="AH193" s="122">
        <f t="shared" si="229"/>
        <v>0</v>
      </c>
      <c r="AI193" s="122">
        <f t="shared" si="231"/>
        <v>33111.888888888891</v>
      </c>
      <c r="AJ193" s="122">
        <v>1</v>
      </c>
      <c r="AK193" s="122"/>
      <c r="AL193" s="122">
        <v>0</v>
      </c>
      <c r="AM193" s="122">
        <v>0</v>
      </c>
      <c r="AN193" s="122">
        <f t="shared" si="184"/>
        <v>0</v>
      </c>
      <c r="AO193" s="122"/>
      <c r="AP193" s="122">
        <f t="shared" si="232"/>
        <v>-13058</v>
      </c>
      <c r="AQ193" s="122"/>
      <c r="AR193" s="34">
        <f t="shared" si="202"/>
        <v>0</v>
      </c>
      <c r="AS193" s="10">
        <f t="shared" si="202"/>
        <v>0</v>
      </c>
      <c r="AT193" s="10"/>
      <c r="AU193" s="10">
        <f t="shared" si="212"/>
        <v>0</v>
      </c>
      <c r="AV193" s="10"/>
      <c r="AW193" s="10">
        <f t="shared" si="213"/>
        <v>0</v>
      </c>
      <c r="AX193" s="10"/>
      <c r="AY193" s="10"/>
      <c r="AZ193" s="10"/>
      <c r="BA193" s="10">
        <v>0</v>
      </c>
      <c r="BB193" s="10">
        <v>0</v>
      </c>
      <c r="BC193" s="10">
        <f t="shared" si="182"/>
        <v>0</v>
      </c>
      <c r="BD193" s="10"/>
      <c r="BE193" s="26">
        <f t="shared" si="203"/>
        <v>0</v>
      </c>
      <c r="BF193" s="122">
        <f t="shared" si="203"/>
        <v>0</v>
      </c>
      <c r="BG193" s="122"/>
      <c r="BH193" s="122">
        <f t="shared" si="204"/>
        <v>0</v>
      </c>
      <c r="BI193" s="122"/>
      <c r="BJ193" s="122">
        <f t="shared" si="205"/>
        <v>0</v>
      </c>
      <c r="BK193" s="122"/>
      <c r="BL193" s="122"/>
      <c r="BM193" s="122"/>
      <c r="BN193" s="122" t="s">
        <v>339</v>
      </c>
      <c r="BO193" s="122" t="s">
        <v>1639</v>
      </c>
      <c r="BP193" s="122" t="s">
        <v>341</v>
      </c>
      <c r="BQ193" s="122" t="s">
        <v>990</v>
      </c>
      <c r="BR193" s="122" t="s">
        <v>989</v>
      </c>
      <c r="BS193" s="122" t="s">
        <v>11</v>
      </c>
      <c r="BT193" s="55" t="s">
        <v>340</v>
      </c>
    </row>
    <row r="194" spans="1:72" ht="48" hidden="1" customHeight="1" outlineLevel="1" x14ac:dyDescent="0.25">
      <c r="A194" s="124"/>
      <c r="B194" s="59">
        <v>8</v>
      </c>
      <c r="C194" s="122" t="s">
        <v>1157</v>
      </c>
      <c r="D194" s="122" t="s">
        <v>1158</v>
      </c>
      <c r="E194" s="122" t="s">
        <v>9</v>
      </c>
      <c r="F194" s="122">
        <v>318558</v>
      </c>
      <c r="G194" s="122">
        <v>311556</v>
      </c>
      <c r="H194" s="122">
        <v>305202</v>
      </c>
      <c r="I194" s="122">
        <f t="shared" si="224"/>
        <v>6354</v>
      </c>
      <c r="J194" s="122">
        <v>1</v>
      </c>
      <c r="K194" s="122">
        <v>1</v>
      </c>
      <c r="L194" s="122"/>
      <c r="M194" s="122">
        <v>110952</v>
      </c>
      <c r="N194" s="122">
        <f t="shared" si="230"/>
        <v>194091.11111111112</v>
      </c>
      <c r="O194" s="122">
        <v>180400</v>
      </c>
      <c r="P194" s="122">
        <v>1</v>
      </c>
      <c r="Q194" s="26">
        <v>180400</v>
      </c>
      <c r="R194" s="122">
        <v>1</v>
      </c>
      <c r="S194" s="122">
        <f t="shared" si="195"/>
        <v>5718</v>
      </c>
      <c r="T194" s="122"/>
      <c r="U194" s="26">
        <f t="shared" si="225"/>
        <v>174682</v>
      </c>
      <c r="V194" s="122">
        <f t="shared" si="225"/>
        <v>1</v>
      </c>
      <c r="W194" s="122">
        <v>174682</v>
      </c>
      <c r="X194" s="122">
        <f t="shared" si="226"/>
        <v>1</v>
      </c>
      <c r="Y194" s="122"/>
      <c r="Z194" s="122">
        <f t="shared" si="227"/>
        <v>0</v>
      </c>
      <c r="AA194" s="122"/>
      <c r="AB194" s="122">
        <v>0</v>
      </c>
      <c r="AC194" s="26">
        <f t="shared" si="199"/>
        <v>174682</v>
      </c>
      <c r="AD194" s="122">
        <f t="shared" si="199"/>
        <v>1</v>
      </c>
      <c r="AE194" s="122">
        <f>174682</f>
        <v>174682</v>
      </c>
      <c r="AF194" s="122">
        <f t="shared" si="228"/>
        <v>1</v>
      </c>
      <c r="AG194" s="122"/>
      <c r="AH194" s="122">
        <f t="shared" si="229"/>
        <v>0</v>
      </c>
      <c r="AI194" s="122">
        <f t="shared" si="231"/>
        <v>19409.111111111109</v>
      </c>
      <c r="AJ194" s="122">
        <v>1</v>
      </c>
      <c r="AK194" s="122"/>
      <c r="AL194" s="122">
        <v>0</v>
      </c>
      <c r="AM194" s="122">
        <v>0</v>
      </c>
      <c r="AN194" s="122">
        <f t="shared" si="184"/>
        <v>0</v>
      </c>
      <c r="AO194" s="122"/>
      <c r="AP194" s="122">
        <f t="shared" si="232"/>
        <v>0</v>
      </c>
      <c r="AQ194" s="122"/>
      <c r="AR194" s="34">
        <f t="shared" si="202"/>
        <v>0</v>
      </c>
      <c r="AS194" s="10">
        <f t="shared" si="202"/>
        <v>0</v>
      </c>
      <c r="AT194" s="10"/>
      <c r="AU194" s="10">
        <f t="shared" si="212"/>
        <v>0</v>
      </c>
      <c r="AV194" s="10"/>
      <c r="AW194" s="10">
        <f t="shared" si="213"/>
        <v>0</v>
      </c>
      <c r="AX194" s="10"/>
      <c r="AY194" s="10"/>
      <c r="AZ194" s="10"/>
      <c r="BA194" s="10">
        <v>0</v>
      </c>
      <c r="BB194" s="10">
        <v>0</v>
      </c>
      <c r="BC194" s="10">
        <f t="shared" si="182"/>
        <v>0</v>
      </c>
      <c r="BD194" s="10"/>
      <c r="BE194" s="26">
        <f t="shared" si="203"/>
        <v>0</v>
      </c>
      <c r="BF194" s="122">
        <f t="shared" si="203"/>
        <v>0</v>
      </c>
      <c r="BG194" s="122"/>
      <c r="BH194" s="122">
        <f t="shared" si="204"/>
        <v>0</v>
      </c>
      <c r="BI194" s="122"/>
      <c r="BJ194" s="122">
        <f t="shared" si="205"/>
        <v>0</v>
      </c>
      <c r="BK194" s="122"/>
      <c r="BL194" s="122"/>
      <c r="BM194" s="122"/>
      <c r="BN194" s="122" t="s">
        <v>912</v>
      </c>
      <c r="BO194" s="122" t="s">
        <v>1640</v>
      </c>
      <c r="BP194" s="122" t="s">
        <v>993</v>
      </c>
      <c r="BQ194" s="122" t="s">
        <v>992</v>
      </c>
      <c r="BR194" s="122" t="s">
        <v>991</v>
      </c>
      <c r="BS194" s="122" t="s">
        <v>11</v>
      </c>
      <c r="BT194" s="55" t="s">
        <v>11</v>
      </c>
    </row>
    <row r="195" spans="1:72" ht="48" hidden="1" customHeight="1" outlineLevel="1" x14ac:dyDescent="0.25">
      <c r="A195" s="124"/>
      <c r="B195" s="59"/>
      <c r="C195" s="112" t="s">
        <v>2009</v>
      </c>
      <c r="D195" s="122" t="s">
        <v>2075</v>
      </c>
      <c r="E195" s="122" t="s">
        <v>196</v>
      </c>
      <c r="F195" s="122">
        <v>649840</v>
      </c>
      <c r="G195" s="122">
        <v>622190</v>
      </c>
      <c r="H195" s="122"/>
      <c r="I195" s="122"/>
      <c r="J195" s="122"/>
      <c r="K195" s="122"/>
      <c r="L195" s="122"/>
      <c r="M195" s="122">
        <v>490948</v>
      </c>
      <c r="N195" s="122">
        <f t="shared" si="230"/>
        <v>68894.444444444438</v>
      </c>
      <c r="O195" s="122"/>
      <c r="P195" s="122"/>
      <c r="Q195" s="26"/>
      <c r="R195" s="122"/>
      <c r="S195" s="122"/>
      <c r="T195" s="122"/>
      <c r="U195" s="26"/>
      <c r="V195" s="122"/>
      <c r="W195" s="122"/>
      <c r="X195" s="122"/>
      <c r="Y195" s="122"/>
      <c r="Z195" s="122"/>
      <c r="AA195" s="122"/>
      <c r="AB195" s="122">
        <v>62005</v>
      </c>
      <c r="AC195" s="26">
        <f t="shared" si="199"/>
        <v>62005</v>
      </c>
      <c r="AD195" s="122">
        <f t="shared" si="199"/>
        <v>1</v>
      </c>
      <c r="AE195" s="122">
        <f>62005</f>
        <v>62005</v>
      </c>
      <c r="AF195" s="122">
        <f t="shared" si="228"/>
        <v>1</v>
      </c>
      <c r="AG195" s="122"/>
      <c r="AH195" s="122"/>
      <c r="AI195" s="122">
        <f t="shared" si="231"/>
        <v>6889.4444444444443</v>
      </c>
      <c r="AJ195" s="122"/>
      <c r="AK195" s="122"/>
      <c r="AL195" s="122"/>
      <c r="AM195" s="122"/>
      <c r="AN195" s="122"/>
      <c r="AO195" s="122"/>
      <c r="AP195" s="122">
        <f t="shared" si="232"/>
        <v>-62005</v>
      </c>
      <c r="AQ195" s="122"/>
      <c r="AR195" s="34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26"/>
      <c r="BF195" s="122"/>
      <c r="BG195" s="122"/>
      <c r="BH195" s="122"/>
      <c r="BI195" s="122"/>
      <c r="BJ195" s="122"/>
      <c r="BK195" s="122"/>
      <c r="BL195" s="122"/>
      <c r="BM195" s="122"/>
      <c r="BN195" s="122" t="s">
        <v>2010</v>
      </c>
      <c r="BO195" s="122" t="s">
        <v>2011</v>
      </c>
      <c r="BP195" s="122" t="s">
        <v>2012</v>
      </c>
      <c r="BQ195" s="122" t="s">
        <v>2013</v>
      </c>
      <c r="BR195" s="122" t="s">
        <v>2014</v>
      </c>
      <c r="BS195" s="122"/>
      <c r="BT195" s="55"/>
    </row>
    <row r="196" spans="1:72" ht="78.75" hidden="1" outlineLevel="1" x14ac:dyDescent="0.25">
      <c r="A196" s="124"/>
      <c r="B196" s="59"/>
      <c r="C196" s="112" t="s">
        <v>2015</v>
      </c>
      <c r="D196" s="122" t="s">
        <v>2076</v>
      </c>
      <c r="E196" s="122" t="s">
        <v>196</v>
      </c>
      <c r="F196" s="122">
        <v>722054</v>
      </c>
      <c r="G196" s="122">
        <v>703036</v>
      </c>
      <c r="H196" s="122"/>
      <c r="I196" s="122"/>
      <c r="J196" s="122"/>
      <c r="K196" s="122"/>
      <c r="L196" s="122"/>
      <c r="M196" s="122">
        <v>675378</v>
      </c>
      <c r="N196" s="122">
        <f t="shared" si="230"/>
        <v>27657.777777777777</v>
      </c>
      <c r="O196" s="122"/>
      <c r="P196" s="122"/>
      <c r="Q196" s="26"/>
      <c r="R196" s="122"/>
      <c r="S196" s="122"/>
      <c r="T196" s="122"/>
      <c r="U196" s="26"/>
      <c r="V196" s="122"/>
      <c r="W196" s="122"/>
      <c r="X196" s="122"/>
      <c r="Y196" s="122"/>
      <c r="Z196" s="122"/>
      <c r="AA196" s="122"/>
      <c r="AB196" s="122">
        <v>24892</v>
      </c>
      <c r="AC196" s="26">
        <f t="shared" si="199"/>
        <v>24892</v>
      </c>
      <c r="AD196" s="122">
        <f t="shared" si="199"/>
        <v>1</v>
      </c>
      <c r="AE196" s="122">
        <f>24892</f>
        <v>24892</v>
      </c>
      <c r="AF196" s="122">
        <f t="shared" si="228"/>
        <v>1</v>
      </c>
      <c r="AG196" s="122"/>
      <c r="AH196" s="122"/>
      <c r="AI196" s="122">
        <f t="shared" si="231"/>
        <v>2765.7777777777778</v>
      </c>
      <c r="AJ196" s="122"/>
      <c r="AK196" s="122"/>
      <c r="AL196" s="122"/>
      <c r="AM196" s="122"/>
      <c r="AN196" s="122"/>
      <c r="AO196" s="122"/>
      <c r="AP196" s="122">
        <f t="shared" si="232"/>
        <v>-24892</v>
      </c>
      <c r="AQ196" s="122"/>
      <c r="AR196" s="34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26"/>
      <c r="BF196" s="122"/>
      <c r="BG196" s="122"/>
      <c r="BH196" s="122"/>
      <c r="BI196" s="122"/>
      <c r="BJ196" s="122"/>
      <c r="BK196" s="122"/>
      <c r="BL196" s="122"/>
      <c r="BM196" s="122"/>
      <c r="BN196" s="122" t="s">
        <v>2016</v>
      </c>
      <c r="BO196" s="122" t="s">
        <v>2017</v>
      </c>
      <c r="BP196" s="122" t="s">
        <v>2018</v>
      </c>
      <c r="BQ196" s="122" t="s">
        <v>2019</v>
      </c>
      <c r="BR196" s="122" t="s">
        <v>2020</v>
      </c>
      <c r="BS196" s="122"/>
      <c r="BT196" s="55"/>
    </row>
    <row r="197" spans="1:72" ht="48" hidden="1" customHeight="1" outlineLevel="1" x14ac:dyDescent="0.25">
      <c r="A197" s="124"/>
      <c r="B197" s="59"/>
      <c r="C197" s="112" t="s">
        <v>2021</v>
      </c>
      <c r="D197" s="122" t="s">
        <v>2077</v>
      </c>
      <c r="E197" s="122" t="s">
        <v>196</v>
      </c>
      <c r="F197" s="122">
        <v>1340024</v>
      </c>
      <c r="G197" s="122">
        <v>1306348</v>
      </c>
      <c r="H197" s="122"/>
      <c r="I197" s="122"/>
      <c r="J197" s="122"/>
      <c r="K197" s="122"/>
      <c r="L197" s="122"/>
      <c r="M197" s="122">
        <v>1261903</v>
      </c>
      <c r="N197" s="122">
        <f t="shared" si="230"/>
        <v>44444.444444444445</v>
      </c>
      <c r="O197" s="122"/>
      <c r="P197" s="122"/>
      <c r="Q197" s="26"/>
      <c r="R197" s="122"/>
      <c r="S197" s="122"/>
      <c r="T197" s="122"/>
      <c r="U197" s="26"/>
      <c r="V197" s="122"/>
      <c r="W197" s="122"/>
      <c r="X197" s="122"/>
      <c r="Y197" s="122"/>
      <c r="Z197" s="122"/>
      <c r="AA197" s="122"/>
      <c r="AB197" s="122">
        <v>40000</v>
      </c>
      <c r="AC197" s="26">
        <f t="shared" si="199"/>
        <v>40000</v>
      </c>
      <c r="AD197" s="122">
        <f t="shared" si="199"/>
        <v>1</v>
      </c>
      <c r="AE197" s="122">
        <v>40000</v>
      </c>
      <c r="AF197" s="122">
        <f t="shared" si="228"/>
        <v>1</v>
      </c>
      <c r="AG197" s="122"/>
      <c r="AH197" s="122"/>
      <c r="AI197" s="122">
        <f t="shared" si="231"/>
        <v>4444.4444444444443</v>
      </c>
      <c r="AJ197" s="122"/>
      <c r="AK197" s="122"/>
      <c r="AL197" s="122"/>
      <c r="AM197" s="122"/>
      <c r="AN197" s="122"/>
      <c r="AO197" s="122"/>
      <c r="AP197" s="122">
        <f t="shared" si="232"/>
        <v>-40000</v>
      </c>
      <c r="AQ197" s="122"/>
      <c r="AR197" s="34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26"/>
      <c r="BF197" s="122"/>
      <c r="BG197" s="122"/>
      <c r="BH197" s="122"/>
      <c r="BI197" s="122"/>
      <c r="BJ197" s="122"/>
      <c r="BK197" s="122"/>
      <c r="BL197" s="122"/>
      <c r="BM197" s="122"/>
      <c r="BN197" s="122" t="s">
        <v>2022</v>
      </c>
      <c r="BO197" s="122" t="s">
        <v>2023</v>
      </c>
      <c r="BP197" s="122" t="s">
        <v>2024</v>
      </c>
      <c r="BQ197" s="122" t="s">
        <v>2025</v>
      </c>
      <c r="BR197" s="122" t="s">
        <v>2026</v>
      </c>
      <c r="BS197" s="122"/>
      <c r="BT197" s="55"/>
    </row>
    <row r="198" spans="1:72" ht="48" hidden="1" customHeight="1" outlineLevel="1" x14ac:dyDescent="0.25">
      <c r="A198" s="124"/>
      <c r="B198" s="59"/>
      <c r="C198" s="112" t="s">
        <v>2027</v>
      </c>
      <c r="D198" s="122" t="s">
        <v>2078</v>
      </c>
      <c r="E198" s="122" t="s">
        <v>9</v>
      </c>
      <c r="F198" s="122">
        <v>282969</v>
      </c>
      <c r="G198" s="122">
        <v>279469</v>
      </c>
      <c r="H198" s="122"/>
      <c r="I198" s="122"/>
      <c r="J198" s="122"/>
      <c r="K198" s="122"/>
      <c r="L198" s="122"/>
      <c r="M198" s="122">
        <v>256469</v>
      </c>
      <c r="N198" s="122">
        <f t="shared" si="230"/>
        <v>23000</v>
      </c>
      <c r="O198" s="122"/>
      <c r="P198" s="122"/>
      <c r="Q198" s="26"/>
      <c r="R198" s="122"/>
      <c r="S198" s="122"/>
      <c r="T198" s="122"/>
      <c r="U198" s="26"/>
      <c r="V198" s="122"/>
      <c r="W198" s="122"/>
      <c r="X198" s="122"/>
      <c r="Y198" s="122"/>
      <c r="Z198" s="122"/>
      <c r="AA198" s="122"/>
      <c r="AB198" s="122">
        <v>20700</v>
      </c>
      <c r="AC198" s="26">
        <f t="shared" si="199"/>
        <v>20700</v>
      </c>
      <c r="AD198" s="122">
        <f t="shared" si="199"/>
        <v>1</v>
      </c>
      <c r="AE198" s="122">
        <v>20700</v>
      </c>
      <c r="AF198" s="122">
        <f t="shared" si="228"/>
        <v>1</v>
      </c>
      <c r="AG198" s="122"/>
      <c r="AH198" s="122"/>
      <c r="AI198" s="122">
        <f t="shared" si="231"/>
        <v>2300</v>
      </c>
      <c r="AJ198" s="122"/>
      <c r="AK198" s="122"/>
      <c r="AL198" s="122"/>
      <c r="AM198" s="122"/>
      <c r="AN198" s="122"/>
      <c r="AO198" s="122"/>
      <c r="AP198" s="122">
        <f t="shared" si="232"/>
        <v>-20700</v>
      </c>
      <c r="AQ198" s="122"/>
      <c r="AR198" s="34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26"/>
      <c r="BF198" s="122"/>
      <c r="BG198" s="122"/>
      <c r="BH198" s="122"/>
      <c r="BI198" s="122"/>
      <c r="BJ198" s="122"/>
      <c r="BK198" s="122"/>
      <c r="BL198" s="122"/>
      <c r="BM198" s="122"/>
      <c r="BN198" s="122" t="s">
        <v>2028</v>
      </c>
      <c r="BO198" s="122" t="s">
        <v>2029</v>
      </c>
      <c r="BP198" s="122" t="s">
        <v>2030</v>
      </c>
      <c r="BQ198" s="122" t="s">
        <v>2031</v>
      </c>
      <c r="BR198" s="122" t="s">
        <v>2032</v>
      </c>
      <c r="BS198" s="122" t="s">
        <v>2033</v>
      </c>
      <c r="BT198" s="55"/>
    </row>
    <row r="199" spans="1:72" s="3" customFormat="1" ht="37.5" hidden="1" customHeight="1" outlineLevel="1" x14ac:dyDescent="0.25">
      <c r="A199" s="124"/>
      <c r="B199" s="59">
        <v>9</v>
      </c>
      <c r="C199" s="122" t="s">
        <v>1295</v>
      </c>
      <c r="D199" s="122" t="s">
        <v>1159</v>
      </c>
      <c r="E199" s="122">
        <v>2016</v>
      </c>
      <c r="F199" s="122">
        <v>598426</v>
      </c>
      <c r="G199" s="122">
        <v>578838</v>
      </c>
      <c r="H199" s="122"/>
      <c r="I199" s="122"/>
      <c r="J199" s="122"/>
      <c r="K199" s="122"/>
      <c r="L199" s="122"/>
      <c r="M199" s="122">
        <v>0</v>
      </c>
      <c r="N199" s="122">
        <f t="shared" si="230"/>
        <v>0</v>
      </c>
      <c r="O199" s="122">
        <v>520954</v>
      </c>
      <c r="P199" s="122">
        <v>1</v>
      </c>
      <c r="Q199" s="26">
        <v>0</v>
      </c>
      <c r="R199" s="122">
        <v>0</v>
      </c>
      <c r="S199" s="122">
        <f t="shared" si="195"/>
        <v>0</v>
      </c>
      <c r="T199" s="122"/>
      <c r="U199" s="26">
        <f t="shared" ref="U199:V206" si="234">W199+Y199</f>
        <v>0</v>
      </c>
      <c r="V199" s="122">
        <f t="shared" si="234"/>
        <v>0</v>
      </c>
      <c r="W199" s="122"/>
      <c r="X199" s="122">
        <f t="shared" ref="X199:X206" si="235">IF(W199,1,0)</f>
        <v>0</v>
      </c>
      <c r="Y199" s="122"/>
      <c r="Z199" s="122">
        <f t="shared" ref="Z199:Z206" si="236">IF(Y199,1,0)</f>
        <v>0</v>
      </c>
      <c r="AA199" s="122">
        <v>0</v>
      </c>
      <c r="AB199" s="122"/>
      <c r="AC199" s="26">
        <f t="shared" si="199"/>
        <v>0</v>
      </c>
      <c r="AD199" s="122">
        <f t="shared" si="199"/>
        <v>0</v>
      </c>
      <c r="AE199" s="122"/>
      <c r="AF199" s="122">
        <f t="shared" si="228"/>
        <v>0</v>
      </c>
      <c r="AG199" s="122"/>
      <c r="AH199" s="122">
        <f t="shared" si="229"/>
        <v>0</v>
      </c>
      <c r="AI199" s="122">
        <f t="shared" si="231"/>
        <v>0</v>
      </c>
      <c r="AJ199" s="122"/>
      <c r="AK199" s="122"/>
      <c r="AL199" s="122">
        <v>520954</v>
      </c>
      <c r="AM199" s="122">
        <v>1</v>
      </c>
      <c r="AN199" s="122">
        <f t="shared" si="184"/>
        <v>0</v>
      </c>
      <c r="AO199" s="122"/>
      <c r="AP199" s="122">
        <f t="shared" si="232"/>
        <v>0</v>
      </c>
      <c r="AQ199" s="122"/>
      <c r="AR199" s="34">
        <f t="shared" si="202"/>
        <v>520954</v>
      </c>
      <c r="AS199" s="10">
        <f t="shared" si="202"/>
        <v>1</v>
      </c>
      <c r="AT199" s="10"/>
      <c r="AU199" s="10">
        <f t="shared" si="212"/>
        <v>0</v>
      </c>
      <c r="AV199" s="10">
        <v>520954</v>
      </c>
      <c r="AW199" s="10">
        <f t="shared" si="213"/>
        <v>1</v>
      </c>
      <c r="AX199" s="10">
        <f>AR199/0.9*0.1</f>
        <v>57883.777777777781</v>
      </c>
      <c r="AY199" s="10">
        <v>1</v>
      </c>
      <c r="AZ199" s="10"/>
      <c r="BA199" s="10">
        <v>0</v>
      </c>
      <c r="BB199" s="10">
        <v>0</v>
      </c>
      <c r="BC199" s="10">
        <f t="shared" si="182"/>
        <v>0</v>
      </c>
      <c r="BD199" s="10"/>
      <c r="BE199" s="26">
        <f t="shared" si="203"/>
        <v>0</v>
      </c>
      <c r="BF199" s="122">
        <f t="shared" si="203"/>
        <v>0</v>
      </c>
      <c r="BG199" s="122"/>
      <c r="BH199" s="122">
        <f t="shared" si="204"/>
        <v>0</v>
      </c>
      <c r="BI199" s="122"/>
      <c r="BJ199" s="122">
        <f t="shared" si="205"/>
        <v>0</v>
      </c>
      <c r="BK199" s="122"/>
      <c r="BL199" s="122"/>
      <c r="BM199" s="122"/>
      <c r="BN199" s="122" t="s">
        <v>913</v>
      </c>
      <c r="BO199" s="122" t="s">
        <v>1641</v>
      </c>
      <c r="BP199" s="122" t="s">
        <v>1642</v>
      </c>
      <c r="BQ199" s="122" t="s">
        <v>986</v>
      </c>
      <c r="BR199" s="122" t="s">
        <v>985</v>
      </c>
      <c r="BS199" s="122" t="s">
        <v>988</v>
      </c>
      <c r="BT199" s="55" t="s">
        <v>987</v>
      </c>
    </row>
    <row r="200" spans="1:72" s="3" customFormat="1" ht="43.5" hidden="1" customHeight="1" outlineLevel="1" x14ac:dyDescent="0.25">
      <c r="A200" s="124"/>
      <c r="B200" s="59">
        <v>10</v>
      </c>
      <c r="C200" s="122" t="s">
        <v>342</v>
      </c>
      <c r="D200" s="41" t="s">
        <v>1160</v>
      </c>
      <c r="E200" s="122">
        <v>2016</v>
      </c>
      <c r="F200" s="122">
        <v>204817</v>
      </c>
      <c r="G200" s="122">
        <v>192816</v>
      </c>
      <c r="H200" s="122"/>
      <c r="I200" s="122"/>
      <c r="J200" s="122"/>
      <c r="K200" s="122"/>
      <c r="L200" s="122"/>
      <c r="M200" s="122">
        <v>0</v>
      </c>
      <c r="N200" s="122">
        <f t="shared" si="230"/>
        <v>0</v>
      </c>
      <c r="O200" s="122">
        <v>173534</v>
      </c>
      <c r="P200" s="122">
        <v>1</v>
      </c>
      <c r="Q200" s="26">
        <v>0</v>
      </c>
      <c r="R200" s="122">
        <v>0</v>
      </c>
      <c r="S200" s="122">
        <f t="shared" si="195"/>
        <v>0</v>
      </c>
      <c r="T200" s="122"/>
      <c r="U200" s="26">
        <f t="shared" si="234"/>
        <v>0</v>
      </c>
      <c r="V200" s="122">
        <f t="shared" si="234"/>
        <v>0</v>
      </c>
      <c r="W200" s="122"/>
      <c r="X200" s="122">
        <f t="shared" si="235"/>
        <v>0</v>
      </c>
      <c r="Y200" s="122"/>
      <c r="Z200" s="122">
        <f t="shared" si="236"/>
        <v>0</v>
      </c>
      <c r="AA200" s="122">
        <v>0</v>
      </c>
      <c r="AB200" s="122"/>
      <c r="AC200" s="26">
        <f t="shared" si="199"/>
        <v>0</v>
      </c>
      <c r="AD200" s="122">
        <f t="shared" si="199"/>
        <v>0</v>
      </c>
      <c r="AE200" s="122"/>
      <c r="AF200" s="122">
        <f t="shared" si="228"/>
        <v>0</v>
      </c>
      <c r="AG200" s="122"/>
      <c r="AH200" s="122">
        <f t="shared" si="229"/>
        <v>0</v>
      </c>
      <c r="AI200" s="122">
        <f t="shared" si="231"/>
        <v>0</v>
      </c>
      <c r="AJ200" s="122"/>
      <c r="AK200" s="122"/>
      <c r="AL200" s="122">
        <v>173534</v>
      </c>
      <c r="AM200" s="122">
        <v>1</v>
      </c>
      <c r="AN200" s="122">
        <f t="shared" si="184"/>
        <v>0</v>
      </c>
      <c r="AO200" s="122"/>
      <c r="AP200" s="122">
        <f t="shared" si="232"/>
        <v>0</v>
      </c>
      <c r="AQ200" s="122"/>
      <c r="AR200" s="34">
        <f t="shared" si="202"/>
        <v>173534</v>
      </c>
      <c r="AS200" s="10">
        <f t="shared" si="202"/>
        <v>1</v>
      </c>
      <c r="AT200" s="15"/>
      <c r="AU200" s="10">
        <f t="shared" si="212"/>
        <v>0</v>
      </c>
      <c r="AV200" s="15">
        <v>173534</v>
      </c>
      <c r="AW200" s="10">
        <f t="shared" si="213"/>
        <v>1</v>
      </c>
      <c r="AX200" s="15">
        <f>AV200/0.9*0.1</f>
        <v>19281.555555555558</v>
      </c>
      <c r="AY200" s="15">
        <v>1</v>
      </c>
      <c r="AZ200" s="15"/>
      <c r="BA200" s="15">
        <v>0</v>
      </c>
      <c r="BB200" s="15">
        <v>0</v>
      </c>
      <c r="BC200" s="10">
        <f t="shared" si="182"/>
        <v>0</v>
      </c>
      <c r="BD200" s="15"/>
      <c r="BE200" s="26">
        <f t="shared" si="203"/>
        <v>0</v>
      </c>
      <c r="BF200" s="122">
        <f t="shared" si="203"/>
        <v>0</v>
      </c>
      <c r="BG200" s="122"/>
      <c r="BH200" s="122">
        <f t="shared" si="204"/>
        <v>0</v>
      </c>
      <c r="BI200" s="122"/>
      <c r="BJ200" s="122">
        <f t="shared" si="205"/>
        <v>0</v>
      </c>
      <c r="BK200" s="122"/>
      <c r="BL200" s="122"/>
      <c r="BM200" s="122"/>
      <c r="BN200" s="122" t="s">
        <v>343</v>
      </c>
      <c r="BO200" s="122" t="s">
        <v>1711</v>
      </c>
      <c r="BP200" s="122" t="s">
        <v>344</v>
      </c>
      <c r="BQ200" s="122" t="s">
        <v>345</v>
      </c>
      <c r="BR200" s="122" t="s">
        <v>346</v>
      </c>
      <c r="BS200" s="122" t="s">
        <v>347</v>
      </c>
      <c r="BT200" s="55" t="s">
        <v>348</v>
      </c>
    </row>
    <row r="201" spans="1:72" s="3" customFormat="1" ht="44.25" hidden="1" customHeight="1" outlineLevel="1" x14ac:dyDescent="0.25">
      <c r="A201" s="124"/>
      <c r="B201" s="59">
        <v>11</v>
      </c>
      <c r="C201" s="122" t="s">
        <v>1161</v>
      </c>
      <c r="D201" s="122" t="s">
        <v>350</v>
      </c>
      <c r="E201" s="122">
        <v>2016</v>
      </c>
      <c r="F201" s="122">
        <v>323184</v>
      </c>
      <c r="G201" s="122">
        <v>311184</v>
      </c>
      <c r="H201" s="122"/>
      <c r="I201" s="122"/>
      <c r="J201" s="122"/>
      <c r="K201" s="122"/>
      <c r="L201" s="122"/>
      <c r="M201" s="122">
        <v>0</v>
      </c>
      <c r="N201" s="122">
        <f t="shared" si="230"/>
        <v>0</v>
      </c>
      <c r="O201" s="122">
        <v>135000</v>
      </c>
      <c r="P201" s="122">
        <v>1</v>
      </c>
      <c r="Q201" s="26">
        <v>0</v>
      </c>
      <c r="R201" s="122">
        <v>0</v>
      </c>
      <c r="S201" s="122">
        <f t="shared" si="195"/>
        <v>0</v>
      </c>
      <c r="T201" s="122"/>
      <c r="U201" s="26">
        <f t="shared" si="234"/>
        <v>0</v>
      </c>
      <c r="V201" s="122">
        <f t="shared" si="234"/>
        <v>0</v>
      </c>
      <c r="W201" s="122"/>
      <c r="X201" s="122">
        <f t="shared" si="235"/>
        <v>0</v>
      </c>
      <c r="Y201" s="122"/>
      <c r="Z201" s="122">
        <f t="shared" si="236"/>
        <v>0</v>
      </c>
      <c r="AA201" s="122">
        <v>0</v>
      </c>
      <c r="AB201" s="122"/>
      <c r="AC201" s="26">
        <f t="shared" si="199"/>
        <v>0</v>
      </c>
      <c r="AD201" s="122">
        <f t="shared" si="199"/>
        <v>0</v>
      </c>
      <c r="AE201" s="122"/>
      <c r="AF201" s="122">
        <f t="shared" si="228"/>
        <v>0</v>
      </c>
      <c r="AG201" s="122"/>
      <c r="AH201" s="122">
        <f t="shared" si="229"/>
        <v>0</v>
      </c>
      <c r="AI201" s="122">
        <f t="shared" si="231"/>
        <v>0</v>
      </c>
      <c r="AJ201" s="122"/>
      <c r="AK201" s="122"/>
      <c r="AL201" s="122">
        <v>280066</v>
      </c>
      <c r="AM201" s="122">
        <v>1</v>
      </c>
      <c r="AN201" s="122">
        <f t="shared" si="184"/>
        <v>0</v>
      </c>
      <c r="AO201" s="122"/>
      <c r="AP201" s="122">
        <f t="shared" si="232"/>
        <v>0</v>
      </c>
      <c r="AQ201" s="122"/>
      <c r="AR201" s="34">
        <f t="shared" si="202"/>
        <v>280066</v>
      </c>
      <c r="AS201" s="10">
        <f t="shared" si="202"/>
        <v>1</v>
      </c>
      <c r="AT201" s="10"/>
      <c r="AU201" s="10">
        <f t="shared" si="212"/>
        <v>0</v>
      </c>
      <c r="AV201" s="10">
        <v>280066</v>
      </c>
      <c r="AW201" s="10">
        <f t="shared" si="213"/>
        <v>1</v>
      </c>
      <c r="AX201" s="10">
        <f>AV201/0.9*0.1</f>
        <v>31118.444444444445</v>
      </c>
      <c r="AY201" s="10">
        <v>1</v>
      </c>
      <c r="AZ201" s="10"/>
      <c r="BA201" s="10">
        <v>0</v>
      </c>
      <c r="BB201" s="10">
        <v>0</v>
      </c>
      <c r="BC201" s="10">
        <f t="shared" si="182"/>
        <v>0</v>
      </c>
      <c r="BD201" s="10"/>
      <c r="BE201" s="26">
        <f t="shared" si="203"/>
        <v>0</v>
      </c>
      <c r="BF201" s="122">
        <f t="shared" si="203"/>
        <v>0</v>
      </c>
      <c r="BG201" s="122"/>
      <c r="BH201" s="122">
        <f t="shared" si="204"/>
        <v>0</v>
      </c>
      <c r="BI201" s="122"/>
      <c r="BJ201" s="122">
        <f t="shared" si="205"/>
        <v>0</v>
      </c>
      <c r="BK201" s="122">
        <f>BE201/0.9*0.1</f>
        <v>0</v>
      </c>
      <c r="BL201" s="122"/>
      <c r="BM201" s="122"/>
      <c r="BN201" s="122" t="s">
        <v>349</v>
      </c>
      <c r="BO201" s="122" t="s">
        <v>1643</v>
      </c>
      <c r="BP201" s="122" t="s">
        <v>353</v>
      </c>
      <c r="BQ201" s="122" t="s">
        <v>351</v>
      </c>
      <c r="BR201" s="122" t="s">
        <v>352</v>
      </c>
      <c r="BS201" s="122" t="s">
        <v>355</v>
      </c>
      <c r="BT201" s="55" t="s">
        <v>354</v>
      </c>
    </row>
    <row r="202" spans="1:72" s="3" customFormat="1" ht="39" hidden="1" customHeight="1" outlineLevel="1" x14ac:dyDescent="0.25">
      <c r="A202" s="124"/>
      <c r="B202" s="59">
        <v>12</v>
      </c>
      <c r="C202" s="122" t="s">
        <v>357</v>
      </c>
      <c r="D202" s="122" t="s">
        <v>358</v>
      </c>
      <c r="E202" s="122">
        <v>2016</v>
      </c>
      <c r="F202" s="122">
        <v>183880</v>
      </c>
      <c r="G202" s="122">
        <v>179358</v>
      </c>
      <c r="H202" s="122"/>
      <c r="I202" s="122"/>
      <c r="J202" s="122"/>
      <c r="K202" s="122"/>
      <c r="L202" s="122"/>
      <c r="M202" s="122">
        <v>0</v>
      </c>
      <c r="N202" s="122">
        <f t="shared" si="230"/>
        <v>0</v>
      </c>
      <c r="O202" s="122">
        <v>161422</v>
      </c>
      <c r="P202" s="122">
        <v>1</v>
      </c>
      <c r="Q202" s="26">
        <v>0</v>
      </c>
      <c r="R202" s="122">
        <v>0</v>
      </c>
      <c r="S202" s="122">
        <f t="shared" si="195"/>
        <v>0</v>
      </c>
      <c r="T202" s="122"/>
      <c r="U202" s="26">
        <f t="shared" si="234"/>
        <v>0</v>
      </c>
      <c r="V202" s="122">
        <f t="shared" si="234"/>
        <v>0</v>
      </c>
      <c r="W202" s="122"/>
      <c r="X202" s="122">
        <f t="shared" si="235"/>
        <v>0</v>
      </c>
      <c r="Y202" s="122"/>
      <c r="Z202" s="122">
        <f t="shared" si="236"/>
        <v>0</v>
      </c>
      <c r="AA202" s="122">
        <v>0</v>
      </c>
      <c r="AB202" s="122"/>
      <c r="AC202" s="26">
        <f t="shared" si="199"/>
        <v>0</v>
      </c>
      <c r="AD202" s="122">
        <f t="shared" si="199"/>
        <v>0</v>
      </c>
      <c r="AE202" s="122"/>
      <c r="AF202" s="122">
        <f t="shared" si="228"/>
        <v>0</v>
      </c>
      <c r="AG202" s="122"/>
      <c r="AH202" s="122">
        <f t="shared" si="229"/>
        <v>0</v>
      </c>
      <c r="AI202" s="122">
        <f t="shared" si="231"/>
        <v>0</v>
      </c>
      <c r="AJ202" s="122"/>
      <c r="AK202" s="122"/>
      <c r="AL202" s="122">
        <v>161422</v>
      </c>
      <c r="AM202" s="122">
        <v>1</v>
      </c>
      <c r="AN202" s="122">
        <f t="shared" si="184"/>
        <v>0</v>
      </c>
      <c r="AO202" s="122"/>
      <c r="AP202" s="122">
        <f t="shared" si="232"/>
        <v>0</v>
      </c>
      <c r="AQ202" s="122"/>
      <c r="AR202" s="34">
        <f t="shared" si="202"/>
        <v>161422</v>
      </c>
      <c r="AS202" s="10">
        <f t="shared" si="202"/>
        <v>1</v>
      </c>
      <c r="AT202" s="10">
        <v>0</v>
      </c>
      <c r="AU202" s="10">
        <f t="shared" si="212"/>
        <v>0</v>
      </c>
      <c r="AV202" s="10">
        <v>161422</v>
      </c>
      <c r="AW202" s="10">
        <f t="shared" si="213"/>
        <v>1</v>
      </c>
      <c r="AX202" s="10">
        <f>AV202/0.9*0.1</f>
        <v>17935.777777777777</v>
      </c>
      <c r="AY202" s="10">
        <v>1</v>
      </c>
      <c r="AZ202" s="10"/>
      <c r="BA202" s="10">
        <v>0</v>
      </c>
      <c r="BB202" s="10">
        <v>0</v>
      </c>
      <c r="BC202" s="10">
        <f t="shared" si="182"/>
        <v>0</v>
      </c>
      <c r="BD202" s="10"/>
      <c r="BE202" s="26">
        <f t="shared" si="203"/>
        <v>0</v>
      </c>
      <c r="BF202" s="122">
        <f t="shared" si="203"/>
        <v>0</v>
      </c>
      <c r="BG202" s="122"/>
      <c r="BH202" s="122">
        <f t="shared" si="204"/>
        <v>0</v>
      </c>
      <c r="BI202" s="122"/>
      <c r="BJ202" s="122">
        <f t="shared" si="205"/>
        <v>0</v>
      </c>
      <c r="BK202" s="122"/>
      <c r="BL202" s="122"/>
      <c r="BM202" s="122"/>
      <c r="BN202" s="122" t="s">
        <v>356</v>
      </c>
      <c r="BO202" s="122" t="s">
        <v>1644</v>
      </c>
      <c r="BP202" s="122" t="s">
        <v>363</v>
      </c>
      <c r="BQ202" s="122" t="s">
        <v>359</v>
      </c>
      <c r="BR202" s="122" t="s">
        <v>360</v>
      </c>
      <c r="BS202" s="122" t="s">
        <v>361</v>
      </c>
      <c r="BT202" s="55" t="s">
        <v>362</v>
      </c>
    </row>
    <row r="203" spans="1:72" s="3" customFormat="1" ht="38.25" hidden="1" customHeight="1" outlineLevel="1" x14ac:dyDescent="0.25">
      <c r="A203" s="124"/>
      <c r="B203" s="59">
        <v>13</v>
      </c>
      <c r="C203" s="122" t="s">
        <v>1110</v>
      </c>
      <c r="D203" s="122" t="s">
        <v>365</v>
      </c>
      <c r="E203" s="122" t="s">
        <v>10</v>
      </c>
      <c r="F203" s="122">
        <v>1071989</v>
      </c>
      <c r="G203" s="122">
        <v>1051980</v>
      </c>
      <c r="H203" s="122"/>
      <c r="I203" s="122"/>
      <c r="J203" s="122"/>
      <c r="K203" s="122"/>
      <c r="L203" s="122"/>
      <c r="M203" s="122">
        <v>0</v>
      </c>
      <c r="N203" s="122">
        <f t="shared" si="230"/>
        <v>0</v>
      </c>
      <c r="O203" s="122">
        <v>467213</v>
      </c>
      <c r="P203" s="122">
        <v>1</v>
      </c>
      <c r="Q203" s="26">
        <v>167823</v>
      </c>
      <c r="R203" s="122">
        <v>1</v>
      </c>
      <c r="S203" s="122">
        <f t="shared" si="195"/>
        <v>167823</v>
      </c>
      <c r="T203" s="122"/>
      <c r="U203" s="26">
        <f t="shared" si="234"/>
        <v>267823</v>
      </c>
      <c r="V203" s="122">
        <f t="shared" si="234"/>
        <v>1</v>
      </c>
      <c r="W203" s="122"/>
      <c r="X203" s="122">
        <f t="shared" si="235"/>
        <v>0</v>
      </c>
      <c r="Y203" s="122">
        <v>267823</v>
      </c>
      <c r="Z203" s="122">
        <f t="shared" si="236"/>
        <v>1</v>
      </c>
      <c r="AA203" s="122">
        <v>-267823</v>
      </c>
      <c r="AB203" s="122"/>
      <c r="AC203" s="26">
        <f t="shared" si="199"/>
        <v>0</v>
      </c>
      <c r="AD203" s="122">
        <f t="shared" si="199"/>
        <v>0</v>
      </c>
      <c r="AE203" s="122"/>
      <c r="AF203" s="122">
        <f t="shared" si="228"/>
        <v>0</v>
      </c>
      <c r="AG203" s="122"/>
      <c r="AH203" s="122">
        <f t="shared" si="229"/>
        <v>0</v>
      </c>
      <c r="AI203" s="122">
        <f t="shared" si="231"/>
        <v>0</v>
      </c>
      <c r="AJ203" s="122"/>
      <c r="AK203" s="122">
        <v>1</v>
      </c>
      <c r="AL203" s="122">
        <v>778959</v>
      </c>
      <c r="AM203" s="122">
        <v>1</v>
      </c>
      <c r="AN203" s="122">
        <f t="shared" si="184"/>
        <v>-67823</v>
      </c>
      <c r="AO203" s="122"/>
      <c r="AP203" s="122">
        <f t="shared" si="232"/>
        <v>267823</v>
      </c>
      <c r="AQ203" s="122"/>
      <c r="AR203" s="34">
        <f t="shared" si="202"/>
        <v>846782</v>
      </c>
      <c r="AS203" s="10">
        <f t="shared" si="202"/>
        <v>1</v>
      </c>
      <c r="AT203" s="10">
        <f>678959+167823</f>
        <v>846782</v>
      </c>
      <c r="AU203" s="10">
        <f t="shared" si="212"/>
        <v>1</v>
      </c>
      <c r="AV203" s="10"/>
      <c r="AW203" s="10">
        <f t="shared" si="213"/>
        <v>0</v>
      </c>
      <c r="AX203" s="10">
        <f>AR203/0.9*0.1</f>
        <v>94086.888888888891</v>
      </c>
      <c r="AY203" s="10">
        <v>1</v>
      </c>
      <c r="AZ203" s="10"/>
      <c r="BA203" s="10">
        <v>0</v>
      </c>
      <c r="BB203" s="10">
        <v>0</v>
      </c>
      <c r="BC203" s="10">
        <f t="shared" si="182"/>
        <v>0</v>
      </c>
      <c r="BD203" s="10"/>
      <c r="BE203" s="26">
        <f t="shared" si="203"/>
        <v>0</v>
      </c>
      <c r="BF203" s="122">
        <f t="shared" si="203"/>
        <v>0</v>
      </c>
      <c r="BG203" s="122"/>
      <c r="BH203" s="122">
        <f t="shared" si="204"/>
        <v>0</v>
      </c>
      <c r="BI203" s="122"/>
      <c r="BJ203" s="122">
        <f t="shared" si="205"/>
        <v>0</v>
      </c>
      <c r="BK203" s="122"/>
      <c r="BL203" s="122"/>
      <c r="BM203" s="122"/>
      <c r="BN203" s="122" t="s">
        <v>364</v>
      </c>
      <c r="BO203" s="122" t="s">
        <v>1631</v>
      </c>
      <c r="BP203" s="122" t="s">
        <v>370</v>
      </c>
      <c r="BQ203" s="122" t="s">
        <v>368</v>
      </c>
      <c r="BR203" s="122" t="s">
        <v>369</v>
      </c>
      <c r="BS203" s="122" t="s">
        <v>366</v>
      </c>
      <c r="BT203" s="55" t="s">
        <v>367</v>
      </c>
    </row>
    <row r="204" spans="1:72" s="3" customFormat="1" ht="53.25" hidden="1" customHeight="1" outlineLevel="1" x14ac:dyDescent="0.25">
      <c r="A204" s="124"/>
      <c r="B204" s="59">
        <v>14</v>
      </c>
      <c r="C204" s="67" t="s">
        <v>1296</v>
      </c>
      <c r="D204" s="41" t="s">
        <v>1162</v>
      </c>
      <c r="E204" s="122" t="s">
        <v>1735</v>
      </c>
      <c r="F204" s="122">
        <v>1238650</v>
      </c>
      <c r="G204" s="122">
        <v>1211050</v>
      </c>
      <c r="H204" s="122"/>
      <c r="I204" s="122"/>
      <c r="J204" s="122"/>
      <c r="K204" s="122"/>
      <c r="L204" s="122"/>
      <c r="M204" s="122">
        <v>0</v>
      </c>
      <c r="N204" s="122">
        <f t="shared" si="230"/>
        <v>0</v>
      </c>
      <c r="O204" s="122">
        <v>540000</v>
      </c>
      <c r="P204" s="122">
        <v>1</v>
      </c>
      <c r="Q204" s="26">
        <v>100000</v>
      </c>
      <c r="R204" s="122">
        <v>1</v>
      </c>
      <c r="S204" s="122">
        <f t="shared" si="195"/>
        <v>100000</v>
      </c>
      <c r="T204" s="122"/>
      <c r="U204" s="26">
        <f t="shared" si="234"/>
        <v>280000</v>
      </c>
      <c r="V204" s="122">
        <f t="shared" si="234"/>
        <v>1</v>
      </c>
      <c r="W204" s="122"/>
      <c r="X204" s="122">
        <f t="shared" si="235"/>
        <v>0</v>
      </c>
      <c r="Y204" s="122">
        <v>280000</v>
      </c>
      <c r="Z204" s="122">
        <f t="shared" si="236"/>
        <v>1</v>
      </c>
      <c r="AA204" s="122">
        <v>-280000</v>
      </c>
      <c r="AB204" s="122"/>
      <c r="AC204" s="26">
        <f t="shared" si="199"/>
        <v>0</v>
      </c>
      <c r="AD204" s="122">
        <f t="shared" si="199"/>
        <v>0</v>
      </c>
      <c r="AE204" s="122"/>
      <c r="AF204" s="122">
        <f t="shared" si="228"/>
        <v>0</v>
      </c>
      <c r="AG204" s="122"/>
      <c r="AH204" s="122">
        <f t="shared" si="229"/>
        <v>0</v>
      </c>
      <c r="AI204" s="122">
        <f t="shared" si="231"/>
        <v>0</v>
      </c>
      <c r="AJ204" s="122"/>
      <c r="AK204" s="122">
        <v>1</v>
      </c>
      <c r="AL204" s="122">
        <v>989947</v>
      </c>
      <c r="AM204" s="122">
        <v>1</v>
      </c>
      <c r="AN204" s="122">
        <f t="shared" si="184"/>
        <v>0</v>
      </c>
      <c r="AO204" s="122"/>
      <c r="AP204" s="122">
        <f t="shared" si="232"/>
        <v>280000</v>
      </c>
      <c r="AQ204" s="122"/>
      <c r="AR204" s="34">
        <f t="shared" si="202"/>
        <v>989947</v>
      </c>
      <c r="AS204" s="10">
        <f t="shared" si="202"/>
        <v>1</v>
      </c>
      <c r="AT204" s="10">
        <f>809947+180000</f>
        <v>989947</v>
      </c>
      <c r="AU204" s="10">
        <f t="shared" si="212"/>
        <v>1</v>
      </c>
      <c r="AV204" s="10">
        <v>0</v>
      </c>
      <c r="AW204" s="10">
        <v>0</v>
      </c>
      <c r="AX204" s="10">
        <f>AR204/0.9*0.1</f>
        <v>109994.11111111111</v>
      </c>
      <c r="AY204" s="10">
        <v>1</v>
      </c>
      <c r="AZ204" s="10"/>
      <c r="BA204" s="10">
        <v>99998</v>
      </c>
      <c r="BB204" s="10">
        <v>1</v>
      </c>
      <c r="BC204" s="10">
        <f t="shared" si="182"/>
        <v>99998</v>
      </c>
      <c r="BD204" s="10"/>
      <c r="BE204" s="26">
        <f t="shared" ref="BE204:BF245" si="237">BG204+BI204</f>
        <v>0</v>
      </c>
      <c r="BF204" s="122">
        <f t="shared" si="237"/>
        <v>0</v>
      </c>
      <c r="BG204" s="122"/>
      <c r="BH204" s="122">
        <f t="shared" si="204"/>
        <v>0</v>
      </c>
      <c r="BI204" s="122"/>
      <c r="BJ204" s="122">
        <f t="shared" si="205"/>
        <v>0</v>
      </c>
      <c r="BK204" s="122">
        <f>BE204/0.9*0.1</f>
        <v>0</v>
      </c>
      <c r="BL204" s="122"/>
      <c r="BM204" s="122"/>
      <c r="BN204" s="122" t="s">
        <v>372</v>
      </c>
      <c r="BO204" s="122" t="s">
        <v>1645</v>
      </c>
      <c r="BP204" s="122" t="s">
        <v>375</v>
      </c>
      <c r="BQ204" s="122" t="s">
        <v>374</v>
      </c>
      <c r="BR204" s="122" t="s">
        <v>373</v>
      </c>
      <c r="BS204" s="122" t="s">
        <v>1163</v>
      </c>
      <c r="BT204" s="55" t="s">
        <v>376</v>
      </c>
    </row>
    <row r="205" spans="1:72" s="3" customFormat="1" ht="45.75" hidden="1" customHeight="1" outlineLevel="1" x14ac:dyDescent="0.25">
      <c r="A205" s="124"/>
      <c r="B205" s="59">
        <v>15</v>
      </c>
      <c r="C205" s="67" t="s">
        <v>1297</v>
      </c>
      <c r="D205" s="122" t="s">
        <v>378</v>
      </c>
      <c r="E205" s="122">
        <v>2016</v>
      </c>
      <c r="F205" s="122">
        <v>313326</v>
      </c>
      <c r="G205" s="122">
        <v>307176</v>
      </c>
      <c r="H205" s="122"/>
      <c r="I205" s="122"/>
      <c r="J205" s="122"/>
      <c r="K205" s="122"/>
      <c r="L205" s="122"/>
      <c r="M205" s="122">
        <v>0</v>
      </c>
      <c r="N205" s="122">
        <f t="shared" si="230"/>
        <v>0</v>
      </c>
      <c r="O205" s="122">
        <v>135000</v>
      </c>
      <c r="P205" s="122">
        <v>1</v>
      </c>
      <c r="Q205" s="26">
        <v>0</v>
      </c>
      <c r="R205" s="122">
        <v>0</v>
      </c>
      <c r="S205" s="122">
        <f t="shared" si="195"/>
        <v>0</v>
      </c>
      <c r="T205" s="122"/>
      <c r="U205" s="26">
        <f t="shared" si="234"/>
        <v>0</v>
      </c>
      <c r="V205" s="122">
        <f t="shared" si="234"/>
        <v>0</v>
      </c>
      <c r="W205" s="122"/>
      <c r="X205" s="122">
        <f t="shared" si="235"/>
        <v>0</v>
      </c>
      <c r="Y205" s="122"/>
      <c r="Z205" s="122">
        <f t="shared" si="236"/>
        <v>0</v>
      </c>
      <c r="AA205" s="122">
        <v>0</v>
      </c>
      <c r="AB205" s="122"/>
      <c r="AC205" s="26">
        <f t="shared" si="199"/>
        <v>0</v>
      </c>
      <c r="AD205" s="122">
        <f t="shared" si="199"/>
        <v>0</v>
      </c>
      <c r="AE205" s="122"/>
      <c r="AF205" s="122">
        <f t="shared" si="228"/>
        <v>0</v>
      </c>
      <c r="AG205" s="122"/>
      <c r="AH205" s="122">
        <f t="shared" si="229"/>
        <v>0</v>
      </c>
      <c r="AI205" s="122">
        <f t="shared" si="231"/>
        <v>0</v>
      </c>
      <c r="AJ205" s="122"/>
      <c r="AK205" s="122"/>
      <c r="AL205" s="122">
        <v>276458</v>
      </c>
      <c r="AM205" s="122">
        <v>1</v>
      </c>
      <c r="AN205" s="122">
        <f t="shared" si="184"/>
        <v>0</v>
      </c>
      <c r="AO205" s="122"/>
      <c r="AP205" s="122">
        <f t="shared" si="232"/>
        <v>0</v>
      </c>
      <c r="AQ205" s="122"/>
      <c r="AR205" s="34">
        <f t="shared" si="202"/>
        <v>276458</v>
      </c>
      <c r="AS205" s="10">
        <f t="shared" si="202"/>
        <v>1</v>
      </c>
      <c r="AT205" s="10"/>
      <c r="AU205" s="10">
        <f t="shared" si="212"/>
        <v>0</v>
      </c>
      <c r="AV205" s="10">
        <v>276458</v>
      </c>
      <c r="AW205" s="10">
        <f t="shared" si="213"/>
        <v>1</v>
      </c>
      <c r="AX205" s="10">
        <f>AR205/0.9*0.1</f>
        <v>30717.555555555558</v>
      </c>
      <c r="AY205" s="10">
        <v>1</v>
      </c>
      <c r="AZ205" s="10"/>
      <c r="BA205" s="10">
        <v>0</v>
      </c>
      <c r="BB205" s="10">
        <v>0</v>
      </c>
      <c r="BC205" s="10">
        <f t="shared" si="182"/>
        <v>0</v>
      </c>
      <c r="BD205" s="10"/>
      <c r="BE205" s="26">
        <f t="shared" si="237"/>
        <v>0</v>
      </c>
      <c r="BF205" s="122">
        <f t="shared" si="237"/>
        <v>0</v>
      </c>
      <c r="BG205" s="122"/>
      <c r="BH205" s="122">
        <f t="shared" si="204"/>
        <v>0</v>
      </c>
      <c r="BI205" s="122"/>
      <c r="BJ205" s="122">
        <f t="shared" si="205"/>
        <v>0</v>
      </c>
      <c r="BK205" s="122"/>
      <c r="BL205" s="122"/>
      <c r="BM205" s="122"/>
      <c r="BN205" s="122" t="s">
        <v>377</v>
      </c>
      <c r="BO205" s="122" t="s">
        <v>1645</v>
      </c>
      <c r="BP205" s="122" t="s">
        <v>382</v>
      </c>
      <c r="BQ205" s="122" t="s">
        <v>379</v>
      </c>
      <c r="BR205" s="122" t="s">
        <v>380</v>
      </c>
      <c r="BS205" s="122" t="s">
        <v>381</v>
      </c>
      <c r="BT205" s="55" t="s">
        <v>994</v>
      </c>
    </row>
    <row r="206" spans="1:72" s="3" customFormat="1" ht="40.5" hidden="1" customHeight="1" outlineLevel="1" x14ac:dyDescent="0.25">
      <c r="A206" s="124"/>
      <c r="B206" s="59">
        <v>16</v>
      </c>
      <c r="C206" s="122" t="s">
        <v>197</v>
      </c>
      <c r="D206" s="122" t="s">
        <v>1164</v>
      </c>
      <c r="E206" s="122">
        <v>2015</v>
      </c>
      <c r="F206" s="122">
        <v>349826</v>
      </c>
      <c r="G206" s="122">
        <v>340325.9</v>
      </c>
      <c r="H206" s="122"/>
      <c r="I206" s="122"/>
      <c r="J206" s="122"/>
      <c r="K206" s="122"/>
      <c r="L206" s="122"/>
      <c r="M206" s="122">
        <v>0</v>
      </c>
      <c r="N206" s="122">
        <f t="shared" si="230"/>
        <v>0</v>
      </c>
      <c r="O206" s="122">
        <v>153000</v>
      </c>
      <c r="P206" s="122">
        <v>1</v>
      </c>
      <c r="Q206" s="26">
        <v>306293</v>
      </c>
      <c r="R206" s="122">
        <v>1</v>
      </c>
      <c r="S206" s="122">
        <f t="shared" si="195"/>
        <v>306293</v>
      </c>
      <c r="T206" s="122"/>
      <c r="U206" s="26">
        <f t="shared" si="234"/>
        <v>195351</v>
      </c>
      <c r="V206" s="122">
        <f t="shared" si="234"/>
        <v>1</v>
      </c>
      <c r="W206" s="122"/>
      <c r="X206" s="122">
        <f t="shared" si="235"/>
        <v>0</v>
      </c>
      <c r="Y206" s="122">
        <f>206293-10942</f>
        <v>195351</v>
      </c>
      <c r="Z206" s="122">
        <f t="shared" si="236"/>
        <v>1</v>
      </c>
      <c r="AA206" s="122">
        <v>-195351</v>
      </c>
      <c r="AB206" s="122"/>
      <c r="AC206" s="26">
        <f t="shared" si="199"/>
        <v>0</v>
      </c>
      <c r="AD206" s="122">
        <f t="shared" si="199"/>
        <v>0</v>
      </c>
      <c r="AE206" s="122"/>
      <c r="AF206" s="122">
        <f t="shared" si="228"/>
        <v>0</v>
      </c>
      <c r="AG206" s="122"/>
      <c r="AH206" s="122">
        <f t="shared" si="229"/>
        <v>0</v>
      </c>
      <c r="AI206" s="122">
        <f t="shared" si="231"/>
        <v>0</v>
      </c>
      <c r="AJ206" s="122"/>
      <c r="AK206" s="122">
        <v>1</v>
      </c>
      <c r="AL206" s="122">
        <v>0</v>
      </c>
      <c r="AM206" s="122">
        <v>0</v>
      </c>
      <c r="AN206" s="122">
        <f t="shared" si="184"/>
        <v>-216293</v>
      </c>
      <c r="AO206" s="122"/>
      <c r="AP206" s="122">
        <f t="shared" si="232"/>
        <v>195351</v>
      </c>
      <c r="AQ206" s="122"/>
      <c r="AR206" s="34">
        <f t="shared" si="202"/>
        <v>216293</v>
      </c>
      <c r="AS206" s="10">
        <f t="shared" si="202"/>
        <v>1</v>
      </c>
      <c r="AT206" s="10">
        <f>110942+105351</f>
        <v>216293</v>
      </c>
      <c r="AU206" s="10">
        <f t="shared" si="212"/>
        <v>1</v>
      </c>
      <c r="AV206" s="10"/>
      <c r="AW206" s="10">
        <f t="shared" si="213"/>
        <v>0</v>
      </c>
      <c r="AX206" s="10">
        <f>AR206/0.9*0.1</f>
        <v>24032.555555555558</v>
      </c>
      <c r="AY206" s="10">
        <v>1</v>
      </c>
      <c r="AZ206" s="10"/>
      <c r="BA206" s="10">
        <v>0</v>
      </c>
      <c r="BB206" s="10">
        <v>0</v>
      </c>
      <c r="BC206" s="10">
        <f t="shared" si="182"/>
        <v>0</v>
      </c>
      <c r="BD206" s="10"/>
      <c r="BE206" s="26">
        <f t="shared" si="237"/>
        <v>0</v>
      </c>
      <c r="BF206" s="122">
        <f t="shared" si="237"/>
        <v>0</v>
      </c>
      <c r="BG206" s="122"/>
      <c r="BH206" s="122">
        <f t="shared" si="204"/>
        <v>0</v>
      </c>
      <c r="BI206" s="122"/>
      <c r="BJ206" s="122">
        <f t="shared" si="205"/>
        <v>0</v>
      </c>
      <c r="BK206" s="122"/>
      <c r="BL206" s="122"/>
      <c r="BM206" s="122"/>
      <c r="BN206" s="122" t="s">
        <v>383</v>
      </c>
      <c r="BO206" s="122" t="s">
        <v>1645</v>
      </c>
      <c r="BP206" s="122" t="s">
        <v>386</v>
      </c>
      <c r="BQ206" s="122" t="s">
        <v>384</v>
      </c>
      <c r="BR206" s="122" t="s">
        <v>385</v>
      </c>
      <c r="BS206" s="122" t="s">
        <v>387</v>
      </c>
      <c r="BT206" s="55" t="s">
        <v>388</v>
      </c>
    </row>
    <row r="207" spans="1:72" ht="11.25" hidden="1" outlineLevel="1" x14ac:dyDescent="0.25">
      <c r="A207" s="124"/>
      <c r="B207" s="59">
        <v>1</v>
      </c>
      <c r="C207" s="122" t="s">
        <v>8</v>
      </c>
      <c r="D207" s="122"/>
      <c r="E207" s="122"/>
      <c r="F207" s="122">
        <f>F208</f>
        <v>1569734</v>
      </c>
      <c r="G207" s="122">
        <f t="shared" ref="G207:BM207" si="238">G208</f>
        <v>1560532</v>
      </c>
      <c r="H207" s="122">
        <f t="shared" si="238"/>
        <v>1551334</v>
      </c>
      <c r="I207" s="122">
        <f t="shared" si="238"/>
        <v>9198</v>
      </c>
      <c r="J207" s="122">
        <f t="shared" si="238"/>
        <v>1</v>
      </c>
      <c r="K207" s="122">
        <f t="shared" si="238"/>
        <v>0</v>
      </c>
      <c r="L207" s="122">
        <f t="shared" si="238"/>
        <v>0</v>
      </c>
      <c r="M207" s="122">
        <f t="shared" si="238"/>
        <v>500000</v>
      </c>
      <c r="N207" s="122">
        <f t="shared" si="238"/>
        <v>495777.77777777775</v>
      </c>
      <c r="O207" s="122">
        <f t="shared" si="238"/>
        <v>954479</v>
      </c>
      <c r="P207" s="122">
        <f t="shared" si="238"/>
        <v>1</v>
      </c>
      <c r="Q207" s="122">
        <f t="shared" si="238"/>
        <v>854479</v>
      </c>
      <c r="R207" s="122">
        <f t="shared" si="238"/>
        <v>1</v>
      </c>
      <c r="S207" s="122">
        <f t="shared" si="238"/>
        <v>408279</v>
      </c>
      <c r="T207" s="122">
        <f t="shared" si="238"/>
        <v>0</v>
      </c>
      <c r="U207" s="26">
        <f>U208</f>
        <v>446200</v>
      </c>
      <c r="V207" s="122">
        <f t="shared" ref="V207:AB207" si="239">V208</f>
        <v>1</v>
      </c>
      <c r="W207" s="122">
        <f t="shared" si="239"/>
        <v>446200</v>
      </c>
      <c r="X207" s="122">
        <f t="shared" si="239"/>
        <v>1</v>
      </c>
      <c r="Y207" s="122">
        <f t="shared" si="239"/>
        <v>0</v>
      </c>
      <c r="Z207" s="122">
        <f t="shared" si="239"/>
        <v>0</v>
      </c>
      <c r="AA207" s="122">
        <f t="shared" si="239"/>
        <v>0</v>
      </c>
      <c r="AB207" s="122">
        <f t="shared" si="239"/>
        <v>0</v>
      </c>
      <c r="AC207" s="26">
        <f t="shared" si="199"/>
        <v>446200</v>
      </c>
      <c r="AD207" s="122">
        <f t="shared" si="238"/>
        <v>1</v>
      </c>
      <c r="AE207" s="122">
        <f t="shared" si="238"/>
        <v>446200</v>
      </c>
      <c r="AF207" s="122">
        <f t="shared" si="238"/>
        <v>1</v>
      </c>
      <c r="AG207" s="122">
        <f t="shared" si="238"/>
        <v>0</v>
      </c>
      <c r="AH207" s="122">
        <f t="shared" si="238"/>
        <v>0</v>
      </c>
      <c r="AI207" s="122">
        <f t="shared" si="238"/>
        <v>49577.777777777781</v>
      </c>
      <c r="AJ207" s="122">
        <f t="shared" si="238"/>
        <v>0</v>
      </c>
      <c r="AK207" s="122">
        <f t="shared" si="238"/>
        <v>1</v>
      </c>
      <c r="AL207" s="122">
        <f t="shared" si="238"/>
        <v>100000</v>
      </c>
      <c r="AM207" s="122">
        <f t="shared" si="238"/>
        <v>1</v>
      </c>
      <c r="AN207" s="122">
        <f t="shared" si="238"/>
        <v>-690000</v>
      </c>
      <c r="AO207" s="122">
        <f t="shared" si="238"/>
        <v>0</v>
      </c>
      <c r="AP207" s="122">
        <f t="shared" si="232"/>
        <v>0</v>
      </c>
      <c r="AQ207" s="122"/>
      <c r="AR207" s="122">
        <f t="shared" si="238"/>
        <v>790000</v>
      </c>
      <c r="AS207" s="122">
        <f t="shared" si="238"/>
        <v>1</v>
      </c>
      <c r="AT207" s="122">
        <f t="shared" si="238"/>
        <v>790000</v>
      </c>
      <c r="AU207" s="122">
        <f t="shared" si="238"/>
        <v>1</v>
      </c>
      <c r="AV207" s="122">
        <f t="shared" si="238"/>
        <v>0</v>
      </c>
      <c r="AW207" s="122">
        <f t="shared" si="238"/>
        <v>0</v>
      </c>
      <c r="AX207" s="122">
        <f t="shared" si="238"/>
        <v>87777.777777777781</v>
      </c>
      <c r="AY207" s="122">
        <f t="shared" si="238"/>
        <v>1</v>
      </c>
      <c r="AZ207" s="122">
        <f t="shared" si="238"/>
        <v>0</v>
      </c>
      <c r="BA207" s="122">
        <f t="shared" si="238"/>
        <v>0</v>
      </c>
      <c r="BB207" s="122">
        <f t="shared" si="238"/>
        <v>0</v>
      </c>
      <c r="BC207" s="122">
        <f t="shared" si="238"/>
        <v>0</v>
      </c>
      <c r="BD207" s="122">
        <f t="shared" si="238"/>
        <v>0</v>
      </c>
      <c r="BE207" s="122">
        <f t="shared" si="238"/>
        <v>0</v>
      </c>
      <c r="BF207" s="122">
        <f t="shared" si="238"/>
        <v>0</v>
      </c>
      <c r="BG207" s="122">
        <f t="shared" si="238"/>
        <v>0</v>
      </c>
      <c r="BH207" s="122">
        <f t="shared" si="238"/>
        <v>0</v>
      </c>
      <c r="BI207" s="122">
        <f t="shared" si="238"/>
        <v>0</v>
      </c>
      <c r="BJ207" s="122">
        <f t="shared" si="238"/>
        <v>0</v>
      </c>
      <c r="BK207" s="122">
        <f t="shared" si="238"/>
        <v>0</v>
      </c>
      <c r="BL207" s="122">
        <f t="shared" si="238"/>
        <v>0</v>
      </c>
      <c r="BM207" s="122">
        <f t="shared" si="238"/>
        <v>0</v>
      </c>
      <c r="BN207" s="122"/>
      <c r="BO207" s="122"/>
      <c r="BP207" s="122"/>
      <c r="BQ207" s="122"/>
      <c r="BR207" s="122"/>
      <c r="BS207" s="122"/>
      <c r="BT207" s="55"/>
    </row>
    <row r="208" spans="1:72" ht="52.5" hidden="1" customHeight="1" outlineLevel="1" x14ac:dyDescent="0.25">
      <c r="A208" s="124"/>
      <c r="B208" s="59">
        <v>1</v>
      </c>
      <c r="C208" s="122" t="s">
        <v>1298</v>
      </c>
      <c r="D208" s="122" t="s">
        <v>1165</v>
      </c>
      <c r="E208" s="122" t="s">
        <v>9</v>
      </c>
      <c r="F208" s="122">
        <v>1569734</v>
      </c>
      <c r="G208" s="122">
        <v>1560532</v>
      </c>
      <c r="H208" s="122">
        <v>1551334</v>
      </c>
      <c r="I208" s="122">
        <f t="shared" ref="I208" si="240">G208-H208</f>
        <v>9198</v>
      </c>
      <c r="J208" s="122">
        <v>1</v>
      </c>
      <c r="K208" s="122"/>
      <c r="L208" s="122"/>
      <c r="M208" s="122">
        <v>500000</v>
      </c>
      <c r="N208" s="122">
        <f>AC208+AI208</f>
        <v>495777.77777777775</v>
      </c>
      <c r="O208" s="122">
        <v>954479</v>
      </c>
      <c r="P208" s="122">
        <v>1</v>
      </c>
      <c r="Q208" s="26">
        <v>854479</v>
      </c>
      <c r="R208" s="122">
        <v>1</v>
      </c>
      <c r="S208" s="122">
        <f t="shared" si="195"/>
        <v>408279</v>
      </c>
      <c r="T208" s="122"/>
      <c r="U208" s="26">
        <f t="shared" ref="U208:V208" si="241">W208+Y208</f>
        <v>446200</v>
      </c>
      <c r="V208" s="122">
        <f t="shared" si="241"/>
        <v>1</v>
      </c>
      <c r="W208" s="122">
        <v>446200</v>
      </c>
      <c r="X208" s="122">
        <f t="shared" ref="X208" si="242">IF(W208,1,0)</f>
        <v>1</v>
      </c>
      <c r="Y208" s="122"/>
      <c r="Z208" s="122">
        <f t="shared" ref="Z208" si="243">IF(Y208,1,0)</f>
        <v>0</v>
      </c>
      <c r="AA208" s="122">
        <v>0</v>
      </c>
      <c r="AB208" s="122"/>
      <c r="AC208" s="26">
        <f t="shared" si="199"/>
        <v>446200</v>
      </c>
      <c r="AD208" s="122">
        <f t="shared" si="199"/>
        <v>1</v>
      </c>
      <c r="AE208" s="122">
        <f>446200</f>
        <v>446200</v>
      </c>
      <c r="AF208" s="122">
        <f t="shared" ref="AF208" si="244">IF(AE208,1,0)</f>
        <v>1</v>
      </c>
      <c r="AG208" s="122"/>
      <c r="AH208" s="122">
        <f t="shared" ref="AH208" si="245">IF(AG208,1,0)</f>
        <v>0</v>
      </c>
      <c r="AI208" s="122">
        <f>AC208/0.9*0.1</f>
        <v>49577.777777777781</v>
      </c>
      <c r="AJ208" s="122"/>
      <c r="AK208" s="122">
        <v>1</v>
      </c>
      <c r="AL208" s="122">
        <v>100000</v>
      </c>
      <c r="AM208" s="122">
        <v>1</v>
      </c>
      <c r="AN208" s="122">
        <f t="shared" si="184"/>
        <v>-690000</v>
      </c>
      <c r="AO208" s="122"/>
      <c r="AP208" s="122">
        <f t="shared" si="232"/>
        <v>0</v>
      </c>
      <c r="AQ208" s="122"/>
      <c r="AR208" s="34">
        <f t="shared" si="202"/>
        <v>790000</v>
      </c>
      <c r="AS208" s="10">
        <f t="shared" si="202"/>
        <v>1</v>
      </c>
      <c r="AT208" s="10">
        <f>500000+290000</f>
        <v>790000</v>
      </c>
      <c r="AU208" s="10">
        <f t="shared" si="212"/>
        <v>1</v>
      </c>
      <c r="AV208" s="10">
        <v>0</v>
      </c>
      <c r="AW208" s="10">
        <v>0</v>
      </c>
      <c r="AX208" s="10">
        <f t="shared" ref="AX208" si="246">AR208/0.9*0.1</f>
        <v>87777.777777777781</v>
      </c>
      <c r="AY208" s="10">
        <v>1</v>
      </c>
      <c r="AZ208" s="10"/>
      <c r="BA208" s="10">
        <v>0</v>
      </c>
      <c r="BB208" s="10">
        <v>0</v>
      </c>
      <c r="BC208" s="10">
        <f t="shared" si="182"/>
        <v>0</v>
      </c>
      <c r="BD208" s="10"/>
      <c r="BE208" s="26">
        <f t="shared" si="237"/>
        <v>0</v>
      </c>
      <c r="BF208" s="122">
        <f t="shared" si="237"/>
        <v>0</v>
      </c>
      <c r="BG208" s="122"/>
      <c r="BH208" s="122">
        <f t="shared" si="204"/>
        <v>0</v>
      </c>
      <c r="BI208" s="122"/>
      <c r="BJ208" s="122">
        <f t="shared" si="205"/>
        <v>0</v>
      </c>
      <c r="BK208" s="122"/>
      <c r="BL208" s="122"/>
      <c r="BM208" s="122"/>
      <c r="BN208" s="122" t="s">
        <v>389</v>
      </c>
      <c r="BO208" s="122" t="s">
        <v>1628</v>
      </c>
      <c r="BP208" s="122" t="s">
        <v>390</v>
      </c>
      <c r="BQ208" s="122" t="s">
        <v>391</v>
      </c>
      <c r="BR208" s="122" t="s">
        <v>392</v>
      </c>
      <c r="BS208" s="122" t="s">
        <v>11</v>
      </c>
      <c r="BT208" s="55" t="s">
        <v>995</v>
      </c>
    </row>
    <row r="209" spans="1:77" s="35" customFormat="1" ht="11.25" collapsed="1" x14ac:dyDescent="0.25">
      <c r="A209" s="48"/>
      <c r="B209" s="60">
        <v>18</v>
      </c>
      <c r="C209" s="26" t="s">
        <v>539</v>
      </c>
      <c r="D209" s="26"/>
      <c r="E209" s="26"/>
      <c r="F209" s="12">
        <f>F210</f>
        <v>9286606.4570000004</v>
      </c>
      <c r="G209" s="12">
        <f t="shared" ref="G209:BM209" si="247">G210</f>
        <v>9011884.5719999988</v>
      </c>
      <c r="H209" s="12">
        <f t="shared" si="247"/>
        <v>0</v>
      </c>
      <c r="I209" s="12">
        <f t="shared" si="247"/>
        <v>0</v>
      </c>
      <c r="J209" s="12">
        <f t="shared" si="247"/>
        <v>0</v>
      </c>
      <c r="K209" s="12">
        <f t="shared" si="247"/>
        <v>0</v>
      </c>
      <c r="L209" s="12">
        <f t="shared" si="247"/>
        <v>0</v>
      </c>
      <c r="M209" s="12">
        <f t="shared" si="247"/>
        <v>3099694</v>
      </c>
      <c r="N209" s="12">
        <f t="shared" si="247"/>
        <v>2665708.888888889</v>
      </c>
      <c r="O209" s="12">
        <f t="shared" si="247"/>
        <v>4428800</v>
      </c>
      <c r="P209" s="12">
        <f t="shared" si="247"/>
        <v>21</v>
      </c>
      <c r="Q209" s="12">
        <f t="shared" si="247"/>
        <v>3841324</v>
      </c>
      <c r="R209" s="12">
        <f t="shared" si="247"/>
        <v>18</v>
      </c>
      <c r="S209" s="12">
        <f t="shared" si="247"/>
        <v>1455200</v>
      </c>
      <c r="T209" s="12">
        <f t="shared" si="247"/>
        <v>0</v>
      </c>
      <c r="U209" s="12">
        <f t="shared" si="247"/>
        <v>3548093</v>
      </c>
      <c r="V209" s="12">
        <f t="shared" si="247"/>
        <v>18</v>
      </c>
      <c r="W209" s="12">
        <f t="shared" si="247"/>
        <v>2386124</v>
      </c>
      <c r="X209" s="12">
        <f t="shared" si="247"/>
        <v>10</v>
      </c>
      <c r="Y209" s="12">
        <f t="shared" si="247"/>
        <v>1161969</v>
      </c>
      <c r="Z209" s="12">
        <f t="shared" si="247"/>
        <v>8</v>
      </c>
      <c r="AA209" s="12">
        <f t="shared" si="247"/>
        <v>-1161969</v>
      </c>
      <c r="AB209" s="12">
        <f t="shared" si="247"/>
        <v>13014</v>
      </c>
      <c r="AC209" s="12">
        <f t="shared" si="247"/>
        <v>2399138</v>
      </c>
      <c r="AD209" s="12">
        <f t="shared" si="247"/>
        <v>13</v>
      </c>
      <c r="AE209" s="12">
        <f t="shared" si="247"/>
        <v>2399138</v>
      </c>
      <c r="AF209" s="12">
        <f t="shared" si="247"/>
        <v>13</v>
      </c>
      <c r="AG209" s="12">
        <f t="shared" si="247"/>
        <v>0</v>
      </c>
      <c r="AH209" s="12">
        <f t="shared" si="247"/>
        <v>0</v>
      </c>
      <c r="AI209" s="12">
        <f t="shared" si="247"/>
        <v>266570.88888888893</v>
      </c>
      <c r="AJ209" s="68">
        <f t="shared" si="247"/>
        <v>17</v>
      </c>
      <c r="AK209" s="68">
        <f t="shared" si="247"/>
        <v>1</v>
      </c>
      <c r="AL209" s="68">
        <f t="shared" si="247"/>
        <v>1466634</v>
      </c>
      <c r="AM209" s="68">
        <f t="shared" si="247"/>
        <v>1</v>
      </c>
      <c r="AN209" s="68">
        <f t="shared" si="247"/>
        <v>291651</v>
      </c>
      <c r="AO209" s="68">
        <f t="shared" si="247"/>
        <v>0</v>
      </c>
      <c r="AP209" s="68">
        <f t="shared" si="247"/>
        <v>1148955</v>
      </c>
      <c r="AQ209" s="68">
        <f t="shared" si="247"/>
        <v>0</v>
      </c>
      <c r="AR209" s="12">
        <f t="shared" si="247"/>
        <v>1174983</v>
      </c>
      <c r="AS209" s="68">
        <f t="shared" si="247"/>
        <v>9</v>
      </c>
      <c r="AT209" s="12">
        <f t="shared" si="247"/>
        <v>13014</v>
      </c>
      <c r="AU209" s="12">
        <f t="shared" si="247"/>
        <v>1</v>
      </c>
      <c r="AV209" s="12">
        <f t="shared" si="247"/>
        <v>1161969</v>
      </c>
      <c r="AW209" s="12">
        <f t="shared" si="247"/>
        <v>8</v>
      </c>
      <c r="AX209" s="12">
        <f t="shared" si="247"/>
        <v>130553.66666666669</v>
      </c>
      <c r="AY209" s="12">
        <f t="shared" si="247"/>
        <v>1</v>
      </c>
      <c r="AZ209" s="12">
        <f t="shared" si="247"/>
        <v>0</v>
      </c>
      <c r="BA209" s="12">
        <f t="shared" si="247"/>
        <v>4053150</v>
      </c>
      <c r="BB209" s="12">
        <f t="shared" si="247"/>
        <v>13</v>
      </c>
      <c r="BC209" s="12">
        <f t="shared" si="247"/>
        <v>2586516</v>
      </c>
      <c r="BD209" s="12">
        <f t="shared" si="247"/>
        <v>0</v>
      </c>
      <c r="BE209" s="12">
        <f t="shared" si="247"/>
        <v>1466634</v>
      </c>
      <c r="BF209" s="68">
        <f t="shared" si="247"/>
        <v>1</v>
      </c>
      <c r="BG209" s="12">
        <f t="shared" si="247"/>
        <v>1466634</v>
      </c>
      <c r="BH209" s="12">
        <f t="shared" si="247"/>
        <v>1</v>
      </c>
      <c r="BI209" s="12">
        <f t="shared" si="247"/>
        <v>0</v>
      </c>
      <c r="BJ209" s="12">
        <f t="shared" si="247"/>
        <v>0</v>
      </c>
      <c r="BK209" s="12">
        <f t="shared" si="247"/>
        <v>162959.33333333334</v>
      </c>
      <c r="BL209" s="12">
        <f t="shared" si="247"/>
        <v>0</v>
      </c>
      <c r="BM209" s="12">
        <f t="shared" si="247"/>
        <v>0</v>
      </c>
      <c r="BN209" s="26"/>
      <c r="BO209" s="26"/>
      <c r="BP209" s="26"/>
      <c r="BQ209" s="26"/>
      <c r="BR209" s="26"/>
      <c r="BS209" s="26"/>
      <c r="BT209" s="58"/>
      <c r="BU209" s="25"/>
      <c r="BV209" s="25"/>
      <c r="BW209" s="25"/>
      <c r="BX209" s="25"/>
      <c r="BY209" s="25"/>
    </row>
    <row r="210" spans="1:77" ht="11.25" hidden="1" outlineLevel="1" x14ac:dyDescent="0.25">
      <c r="A210" s="124"/>
      <c r="B210" s="125">
        <v>18</v>
      </c>
      <c r="C210" s="122" t="s">
        <v>198</v>
      </c>
      <c r="D210" s="122"/>
      <c r="E210" s="122"/>
      <c r="F210" s="13">
        <f>SUM(F211:F231)</f>
        <v>9286606.4570000004</v>
      </c>
      <c r="G210" s="16">
        <f>SUM(G211:G231)</f>
        <v>9011884.5719999988</v>
      </c>
      <c r="H210" s="16"/>
      <c r="I210" s="16"/>
      <c r="J210" s="16"/>
      <c r="K210" s="16"/>
      <c r="L210" s="16"/>
      <c r="M210" s="16">
        <f>SUM(M211:M231)</f>
        <v>3099694</v>
      </c>
      <c r="N210" s="16">
        <f>SUM(N211:N231)</f>
        <v>2665708.888888889</v>
      </c>
      <c r="O210" s="16">
        <v>4428800</v>
      </c>
      <c r="P210" s="16">
        <v>21</v>
      </c>
      <c r="Q210" s="17">
        <v>3841324</v>
      </c>
      <c r="R210" s="16">
        <v>18</v>
      </c>
      <c r="S210" s="17">
        <f t="shared" ref="S210:AZ210" si="248">SUM(S211:S231)</f>
        <v>1455200</v>
      </c>
      <c r="T210" s="17">
        <f t="shared" si="248"/>
        <v>0</v>
      </c>
      <c r="U210" s="12">
        <f t="shared" si="248"/>
        <v>3548093</v>
      </c>
      <c r="V210" s="68">
        <f t="shared" si="248"/>
        <v>18</v>
      </c>
      <c r="W210" s="68">
        <f t="shared" si="248"/>
        <v>2386124</v>
      </c>
      <c r="X210" s="68">
        <f t="shared" si="248"/>
        <v>10</v>
      </c>
      <c r="Y210" s="68">
        <f t="shared" si="248"/>
        <v>1161969</v>
      </c>
      <c r="Z210" s="68">
        <f t="shared" si="248"/>
        <v>8</v>
      </c>
      <c r="AA210" s="68">
        <f t="shared" si="248"/>
        <v>-1161969</v>
      </c>
      <c r="AB210" s="68">
        <f t="shared" si="248"/>
        <v>13014</v>
      </c>
      <c r="AC210" s="12">
        <f t="shared" si="248"/>
        <v>2399138</v>
      </c>
      <c r="AD210" s="13">
        <f t="shared" si="248"/>
        <v>13</v>
      </c>
      <c r="AE210" s="13">
        <f t="shared" si="248"/>
        <v>2399138</v>
      </c>
      <c r="AF210" s="13">
        <f t="shared" si="248"/>
        <v>13</v>
      </c>
      <c r="AG210" s="13">
        <f t="shared" si="248"/>
        <v>0</v>
      </c>
      <c r="AH210" s="13">
        <f t="shared" si="248"/>
        <v>0</v>
      </c>
      <c r="AI210" s="13">
        <f t="shared" si="248"/>
        <v>266570.88888888893</v>
      </c>
      <c r="AJ210" s="13">
        <f t="shared" si="248"/>
        <v>17</v>
      </c>
      <c r="AK210" s="13">
        <f t="shared" si="248"/>
        <v>1</v>
      </c>
      <c r="AL210" s="13">
        <f t="shared" si="248"/>
        <v>1466634</v>
      </c>
      <c r="AM210" s="13">
        <f t="shared" si="248"/>
        <v>1</v>
      </c>
      <c r="AN210" s="13">
        <f t="shared" si="248"/>
        <v>291651</v>
      </c>
      <c r="AO210" s="13">
        <f t="shared" si="248"/>
        <v>0</v>
      </c>
      <c r="AP210" s="13">
        <f t="shared" si="248"/>
        <v>1148955</v>
      </c>
      <c r="AQ210" s="13">
        <f t="shared" si="248"/>
        <v>0</v>
      </c>
      <c r="AR210" s="12">
        <f t="shared" si="248"/>
        <v>1174983</v>
      </c>
      <c r="AS210" s="13">
        <f t="shared" si="248"/>
        <v>9</v>
      </c>
      <c r="AT210" s="13">
        <f t="shared" si="248"/>
        <v>13014</v>
      </c>
      <c r="AU210" s="13">
        <f t="shared" si="248"/>
        <v>1</v>
      </c>
      <c r="AV210" s="13">
        <f t="shared" si="248"/>
        <v>1161969</v>
      </c>
      <c r="AW210" s="13">
        <f t="shared" si="248"/>
        <v>8</v>
      </c>
      <c r="AX210" s="13">
        <f t="shared" si="248"/>
        <v>130553.66666666669</v>
      </c>
      <c r="AY210" s="13">
        <f t="shared" si="248"/>
        <v>1</v>
      </c>
      <c r="AZ210" s="13">
        <f t="shared" si="248"/>
        <v>0</v>
      </c>
      <c r="BA210" s="13">
        <v>4053150</v>
      </c>
      <c r="BB210" s="13">
        <v>13</v>
      </c>
      <c r="BC210" s="10">
        <f t="shared" si="182"/>
        <v>2586516</v>
      </c>
      <c r="BD210" s="13"/>
      <c r="BE210" s="12">
        <f t="shared" ref="BE210:BT210" si="249">SUM(BE211:BE231)</f>
        <v>1466634</v>
      </c>
      <c r="BF210" s="13">
        <f t="shared" si="249"/>
        <v>1</v>
      </c>
      <c r="BG210" s="16">
        <f t="shared" si="249"/>
        <v>1466634</v>
      </c>
      <c r="BH210" s="16">
        <f t="shared" si="249"/>
        <v>1</v>
      </c>
      <c r="BI210" s="16">
        <f t="shared" si="249"/>
        <v>0</v>
      </c>
      <c r="BJ210" s="16">
        <f t="shared" si="249"/>
        <v>0</v>
      </c>
      <c r="BK210" s="16">
        <f t="shared" si="249"/>
        <v>162959.33333333334</v>
      </c>
      <c r="BL210" s="16">
        <f t="shared" si="249"/>
        <v>0</v>
      </c>
      <c r="BM210" s="16">
        <f t="shared" si="249"/>
        <v>0</v>
      </c>
      <c r="BN210" s="16">
        <f t="shared" si="249"/>
        <v>0</v>
      </c>
      <c r="BO210" s="16">
        <f t="shared" si="249"/>
        <v>0</v>
      </c>
      <c r="BP210" s="16">
        <f t="shared" si="249"/>
        <v>0</v>
      </c>
      <c r="BQ210" s="16">
        <f t="shared" si="249"/>
        <v>0</v>
      </c>
      <c r="BR210" s="16">
        <f t="shared" si="249"/>
        <v>0</v>
      </c>
      <c r="BS210" s="16">
        <f t="shared" si="249"/>
        <v>0</v>
      </c>
      <c r="BT210" s="62">
        <f t="shared" si="249"/>
        <v>0</v>
      </c>
    </row>
    <row r="211" spans="1:77" ht="41.25" hidden="1" customHeight="1" outlineLevel="1" x14ac:dyDescent="0.25">
      <c r="A211" s="124"/>
      <c r="B211" s="59">
        <v>1</v>
      </c>
      <c r="C211" s="122" t="s">
        <v>1192</v>
      </c>
      <c r="D211" s="122" t="s">
        <v>1480</v>
      </c>
      <c r="E211" s="122" t="s">
        <v>9</v>
      </c>
      <c r="F211" s="122">
        <v>393441</v>
      </c>
      <c r="G211" s="122">
        <v>378040</v>
      </c>
      <c r="H211" s="122">
        <v>357028</v>
      </c>
      <c r="I211" s="122">
        <f t="shared" ref="I211:I220" si="250">G211-H211</f>
        <v>21012</v>
      </c>
      <c r="J211" s="122">
        <v>1</v>
      </c>
      <c r="K211" s="122">
        <v>1</v>
      </c>
      <c r="L211" s="122"/>
      <c r="M211" s="13">
        <v>166667</v>
      </c>
      <c r="N211" s="122">
        <f>AC211+AI211</f>
        <v>190360</v>
      </c>
      <c r="O211" s="122">
        <v>190236</v>
      </c>
      <c r="P211" s="122">
        <v>1</v>
      </c>
      <c r="Q211" s="26">
        <v>190236</v>
      </c>
      <c r="R211" s="122">
        <v>1</v>
      </c>
      <c r="S211" s="122">
        <f t="shared" si="195"/>
        <v>18912</v>
      </c>
      <c r="T211" s="122"/>
      <c r="U211" s="26">
        <f t="shared" ref="U211:V220" si="251">W211+Y211</f>
        <v>171324</v>
      </c>
      <c r="V211" s="122">
        <f t="shared" si="251"/>
        <v>1</v>
      </c>
      <c r="W211" s="13">
        <v>171324</v>
      </c>
      <c r="X211" s="122">
        <f t="shared" ref="X211:X220" si="252">IF(W211,1,0)</f>
        <v>1</v>
      </c>
      <c r="Y211" s="13"/>
      <c r="Z211" s="122">
        <f t="shared" ref="Z211:Z218" si="253">IF(Y211,1,0)</f>
        <v>0</v>
      </c>
      <c r="AA211" s="122">
        <v>0</v>
      </c>
      <c r="AB211" s="122"/>
      <c r="AC211" s="26">
        <f t="shared" si="199"/>
        <v>171324</v>
      </c>
      <c r="AD211" s="122">
        <f t="shared" si="199"/>
        <v>1</v>
      </c>
      <c r="AE211" s="13">
        <v>171324</v>
      </c>
      <c r="AF211" s="122">
        <f t="shared" ref="AF211:AF231" si="254">IF(AE211,1,0)</f>
        <v>1</v>
      </c>
      <c r="AG211" s="13"/>
      <c r="AH211" s="122">
        <f t="shared" ref="AH211:AH231" si="255">IF(AG211,1,0)</f>
        <v>0</v>
      </c>
      <c r="AI211" s="13">
        <f>AC211/0.9*0.1</f>
        <v>19036</v>
      </c>
      <c r="AJ211" s="13">
        <v>1</v>
      </c>
      <c r="AK211" s="13"/>
      <c r="AL211" s="13">
        <v>0</v>
      </c>
      <c r="AM211" s="13">
        <v>0</v>
      </c>
      <c r="AN211" s="122">
        <f t="shared" si="184"/>
        <v>0</v>
      </c>
      <c r="AO211" s="13"/>
      <c r="AP211" s="13">
        <f>U211-AC211</f>
        <v>0</v>
      </c>
      <c r="AQ211" s="13"/>
      <c r="AR211" s="34">
        <f t="shared" si="202"/>
        <v>0</v>
      </c>
      <c r="AS211" s="18">
        <v>0</v>
      </c>
      <c r="AT211" s="18">
        <v>0</v>
      </c>
      <c r="AU211" s="18">
        <v>0</v>
      </c>
      <c r="AV211" s="18"/>
      <c r="AW211" s="18"/>
      <c r="AX211" s="18"/>
      <c r="AY211" s="18"/>
      <c r="AZ211" s="18"/>
      <c r="BA211" s="18">
        <v>0</v>
      </c>
      <c r="BB211" s="18">
        <v>0</v>
      </c>
      <c r="BC211" s="10">
        <f t="shared" si="182"/>
        <v>0</v>
      </c>
      <c r="BD211" s="18"/>
      <c r="BE211" s="26">
        <f t="shared" si="237"/>
        <v>0</v>
      </c>
      <c r="BF211" s="122">
        <f t="shared" si="237"/>
        <v>0</v>
      </c>
      <c r="BG211" s="13"/>
      <c r="BH211" s="122">
        <f t="shared" ref="BH211:BH245" si="256">IF(BG211,1,0)</f>
        <v>0</v>
      </c>
      <c r="BI211" s="13"/>
      <c r="BJ211" s="122">
        <f t="shared" si="205"/>
        <v>0</v>
      </c>
      <c r="BK211" s="13"/>
      <c r="BL211" s="13"/>
      <c r="BM211" s="13"/>
      <c r="BN211" s="13" t="s">
        <v>914</v>
      </c>
      <c r="BO211" s="13" t="s">
        <v>1646</v>
      </c>
      <c r="BP211" s="13" t="s">
        <v>1023</v>
      </c>
      <c r="BQ211" s="13" t="s">
        <v>1024</v>
      </c>
      <c r="BR211" s="13" t="s">
        <v>1025</v>
      </c>
      <c r="BS211" s="13" t="s">
        <v>11</v>
      </c>
      <c r="BT211" s="63" t="s">
        <v>1026</v>
      </c>
    </row>
    <row r="212" spans="1:77" ht="39.75" hidden="1" customHeight="1" outlineLevel="1" x14ac:dyDescent="0.25">
      <c r="A212" s="124"/>
      <c r="B212" s="59">
        <v>2</v>
      </c>
      <c r="C212" s="122" t="s">
        <v>1481</v>
      </c>
      <c r="D212" s="122" t="s">
        <v>1482</v>
      </c>
      <c r="E212" s="122" t="s">
        <v>9</v>
      </c>
      <c r="F212" s="122">
        <v>432982</v>
      </c>
      <c r="G212" s="122">
        <v>426600.6</v>
      </c>
      <c r="H212" s="122">
        <v>404848</v>
      </c>
      <c r="I212" s="122">
        <f t="shared" si="250"/>
        <v>21752.599999999977</v>
      </c>
      <c r="J212" s="122">
        <v>1</v>
      </c>
      <c r="K212" s="122">
        <v>1</v>
      </c>
      <c r="L212" s="122">
        <v>1</v>
      </c>
      <c r="M212" s="13">
        <v>166667</v>
      </c>
      <c r="N212" s="122">
        <f t="shared" ref="N212:N231" si="257">AC212+AI212</f>
        <v>238181.11111111112</v>
      </c>
      <c r="O212" s="122">
        <v>233941</v>
      </c>
      <c r="P212" s="122">
        <v>1</v>
      </c>
      <c r="Q212" s="26">
        <v>233941</v>
      </c>
      <c r="R212" s="122">
        <v>1</v>
      </c>
      <c r="S212" s="122">
        <f t="shared" si="195"/>
        <v>19578</v>
      </c>
      <c r="T212" s="122"/>
      <c r="U212" s="26">
        <f t="shared" si="251"/>
        <v>214363</v>
      </c>
      <c r="V212" s="122">
        <f t="shared" si="251"/>
        <v>1</v>
      </c>
      <c r="W212" s="13">
        <v>214363</v>
      </c>
      <c r="X212" s="122">
        <f t="shared" si="252"/>
        <v>1</v>
      </c>
      <c r="Y212" s="13"/>
      <c r="Z212" s="122">
        <f t="shared" si="253"/>
        <v>0</v>
      </c>
      <c r="AA212" s="122">
        <v>0</v>
      </c>
      <c r="AB212" s="122"/>
      <c r="AC212" s="26">
        <f t="shared" si="199"/>
        <v>214363</v>
      </c>
      <c r="AD212" s="122">
        <f t="shared" si="199"/>
        <v>1</v>
      </c>
      <c r="AE212" s="13">
        <v>214363</v>
      </c>
      <c r="AF212" s="122">
        <f t="shared" si="254"/>
        <v>1</v>
      </c>
      <c r="AG212" s="13"/>
      <c r="AH212" s="122">
        <f t="shared" si="255"/>
        <v>0</v>
      </c>
      <c r="AI212" s="13">
        <f t="shared" ref="AI212:AI231" si="258">AC212/0.9*0.1</f>
        <v>23818.111111111109</v>
      </c>
      <c r="AJ212" s="13">
        <v>1</v>
      </c>
      <c r="AK212" s="13"/>
      <c r="AL212" s="13">
        <v>0</v>
      </c>
      <c r="AM212" s="13">
        <v>0</v>
      </c>
      <c r="AN212" s="122">
        <f t="shared" si="184"/>
        <v>0</v>
      </c>
      <c r="AO212" s="13"/>
      <c r="AP212" s="13">
        <f t="shared" ref="AP212:AP231" si="259">U212-AC212</f>
        <v>0</v>
      </c>
      <c r="AQ212" s="13"/>
      <c r="AR212" s="34">
        <f t="shared" si="202"/>
        <v>0</v>
      </c>
      <c r="AS212" s="10">
        <f t="shared" si="202"/>
        <v>0</v>
      </c>
      <c r="AT212" s="19"/>
      <c r="AU212" s="10">
        <f t="shared" si="212"/>
        <v>0</v>
      </c>
      <c r="AV212" s="19"/>
      <c r="AW212" s="10">
        <f t="shared" si="213"/>
        <v>0</v>
      </c>
      <c r="AX212" s="19"/>
      <c r="AY212" s="19"/>
      <c r="AZ212" s="19"/>
      <c r="BA212" s="19">
        <v>0</v>
      </c>
      <c r="BB212" s="19">
        <v>0</v>
      </c>
      <c r="BC212" s="10">
        <f t="shared" si="182"/>
        <v>0</v>
      </c>
      <c r="BD212" s="19"/>
      <c r="BE212" s="26">
        <f t="shared" si="237"/>
        <v>0</v>
      </c>
      <c r="BF212" s="122">
        <f t="shared" si="237"/>
        <v>0</v>
      </c>
      <c r="BG212" s="13"/>
      <c r="BH212" s="122">
        <f t="shared" si="256"/>
        <v>0</v>
      </c>
      <c r="BI212" s="13"/>
      <c r="BJ212" s="122">
        <f t="shared" si="205"/>
        <v>0</v>
      </c>
      <c r="BK212" s="13"/>
      <c r="BL212" s="13"/>
      <c r="BM212" s="13"/>
      <c r="BN212" s="13" t="s">
        <v>1647</v>
      </c>
      <c r="BO212" s="13" t="s">
        <v>1039</v>
      </c>
      <c r="BP212" s="13" t="s">
        <v>1648</v>
      </c>
      <c r="BQ212" s="13" t="s">
        <v>1037</v>
      </c>
      <c r="BR212" s="13" t="s">
        <v>1038</v>
      </c>
      <c r="BS212" s="13" t="s">
        <v>1040</v>
      </c>
      <c r="BT212" s="63" t="s">
        <v>1649</v>
      </c>
    </row>
    <row r="213" spans="1:77" ht="33" hidden="1" customHeight="1" outlineLevel="1" x14ac:dyDescent="0.25">
      <c r="A213" s="124"/>
      <c r="B213" s="59">
        <v>3</v>
      </c>
      <c r="C213" s="122" t="s">
        <v>309</v>
      </c>
      <c r="D213" s="122" t="s">
        <v>310</v>
      </c>
      <c r="E213" s="122" t="s">
        <v>9</v>
      </c>
      <c r="F213" s="122">
        <v>400032</v>
      </c>
      <c r="G213" s="122">
        <v>395739</v>
      </c>
      <c r="H213" s="122">
        <v>377613</v>
      </c>
      <c r="I213" s="122">
        <f t="shared" si="250"/>
        <v>18126</v>
      </c>
      <c r="J213" s="122">
        <v>1</v>
      </c>
      <c r="K213" s="122">
        <v>1</v>
      </c>
      <c r="L213" s="122"/>
      <c r="M213" s="13">
        <v>166667</v>
      </c>
      <c r="N213" s="122">
        <f t="shared" si="257"/>
        <v>210945.55555555556</v>
      </c>
      <c r="O213" s="122">
        <v>206165</v>
      </c>
      <c r="P213" s="122">
        <v>1</v>
      </c>
      <c r="Q213" s="26">
        <v>206165</v>
      </c>
      <c r="R213" s="122">
        <v>1</v>
      </c>
      <c r="S213" s="122">
        <f t="shared" si="195"/>
        <v>16314</v>
      </c>
      <c r="T213" s="122"/>
      <c r="U213" s="26">
        <f t="shared" si="251"/>
        <v>189851</v>
      </c>
      <c r="V213" s="122">
        <f t="shared" si="251"/>
        <v>1</v>
      </c>
      <c r="W213" s="13">
        <v>189851</v>
      </c>
      <c r="X213" s="122">
        <f t="shared" si="252"/>
        <v>1</v>
      </c>
      <c r="Y213" s="13"/>
      <c r="Z213" s="122">
        <f t="shared" si="253"/>
        <v>0</v>
      </c>
      <c r="AA213" s="122">
        <v>0</v>
      </c>
      <c r="AB213" s="122"/>
      <c r="AC213" s="26">
        <f t="shared" si="199"/>
        <v>189851</v>
      </c>
      <c r="AD213" s="122">
        <f t="shared" si="199"/>
        <v>1</v>
      </c>
      <c r="AE213" s="13">
        <v>189851</v>
      </c>
      <c r="AF213" s="122">
        <f t="shared" si="254"/>
        <v>1</v>
      </c>
      <c r="AG213" s="13"/>
      <c r="AH213" s="122">
        <f t="shared" si="255"/>
        <v>0</v>
      </c>
      <c r="AI213" s="13">
        <f t="shared" si="258"/>
        <v>21094.555555555558</v>
      </c>
      <c r="AJ213" s="13">
        <v>1</v>
      </c>
      <c r="AK213" s="13"/>
      <c r="AL213" s="13">
        <v>0</v>
      </c>
      <c r="AM213" s="13">
        <v>0</v>
      </c>
      <c r="AN213" s="122">
        <f t="shared" si="184"/>
        <v>0</v>
      </c>
      <c r="AO213" s="13"/>
      <c r="AP213" s="13">
        <f t="shared" si="259"/>
        <v>0</v>
      </c>
      <c r="AQ213" s="13"/>
      <c r="AR213" s="34">
        <f t="shared" si="202"/>
        <v>0</v>
      </c>
      <c r="AS213" s="10">
        <f t="shared" si="202"/>
        <v>0</v>
      </c>
      <c r="AT213" s="19"/>
      <c r="AU213" s="10">
        <f t="shared" si="212"/>
        <v>0</v>
      </c>
      <c r="AV213" s="19"/>
      <c r="AW213" s="10">
        <f t="shared" si="213"/>
        <v>0</v>
      </c>
      <c r="AX213" s="19"/>
      <c r="AY213" s="19"/>
      <c r="AZ213" s="19"/>
      <c r="BA213" s="19">
        <v>0</v>
      </c>
      <c r="BB213" s="19">
        <v>0</v>
      </c>
      <c r="BC213" s="10">
        <f t="shared" si="182"/>
        <v>0</v>
      </c>
      <c r="BD213" s="19"/>
      <c r="BE213" s="26">
        <f t="shared" si="237"/>
        <v>0</v>
      </c>
      <c r="BF213" s="122">
        <f t="shared" si="237"/>
        <v>0</v>
      </c>
      <c r="BG213" s="13"/>
      <c r="BH213" s="122">
        <f t="shared" si="256"/>
        <v>0</v>
      </c>
      <c r="BI213" s="13"/>
      <c r="BJ213" s="122">
        <f t="shared" si="205"/>
        <v>0</v>
      </c>
      <c r="BK213" s="13"/>
      <c r="BL213" s="13"/>
      <c r="BM213" s="13"/>
      <c r="BN213" s="13" t="s">
        <v>915</v>
      </c>
      <c r="BO213" s="13" t="s">
        <v>1650</v>
      </c>
      <c r="BP213" s="13" t="s">
        <v>1013</v>
      </c>
      <c r="BQ213" s="13" t="s">
        <v>1011</v>
      </c>
      <c r="BR213" s="13" t="s">
        <v>1010</v>
      </c>
      <c r="BS213" s="13" t="s">
        <v>1012</v>
      </c>
      <c r="BT213" s="63" t="s">
        <v>1014</v>
      </c>
    </row>
    <row r="214" spans="1:77" ht="44.25" hidden="1" customHeight="1" outlineLevel="1" x14ac:dyDescent="0.25">
      <c r="A214" s="124"/>
      <c r="B214" s="59">
        <v>4</v>
      </c>
      <c r="C214" s="122" t="s">
        <v>1485</v>
      </c>
      <c r="D214" s="122" t="s">
        <v>1494</v>
      </c>
      <c r="E214" s="122" t="s">
        <v>9</v>
      </c>
      <c r="F214" s="122">
        <v>437950</v>
      </c>
      <c r="G214" s="122">
        <v>432591</v>
      </c>
      <c r="H214" s="122">
        <v>427247</v>
      </c>
      <c r="I214" s="122">
        <f t="shared" si="250"/>
        <v>5344</v>
      </c>
      <c r="J214" s="122">
        <v>1</v>
      </c>
      <c r="K214" s="122">
        <v>1</v>
      </c>
      <c r="L214" s="122"/>
      <c r="M214" s="13">
        <v>200000</v>
      </c>
      <c r="N214" s="122">
        <f t="shared" si="257"/>
        <v>227246.66666666666</v>
      </c>
      <c r="O214" s="122">
        <v>209332</v>
      </c>
      <c r="P214" s="122">
        <v>1</v>
      </c>
      <c r="Q214" s="26">
        <v>209332</v>
      </c>
      <c r="R214" s="122">
        <v>1</v>
      </c>
      <c r="S214" s="122">
        <f t="shared" si="195"/>
        <v>4810</v>
      </c>
      <c r="T214" s="122"/>
      <c r="U214" s="26">
        <f t="shared" si="251"/>
        <v>204522</v>
      </c>
      <c r="V214" s="122">
        <f t="shared" si="251"/>
        <v>1</v>
      </c>
      <c r="W214" s="13">
        <v>204522</v>
      </c>
      <c r="X214" s="122">
        <f t="shared" si="252"/>
        <v>1</v>
      </c>
      <c r="Y214" s="13"/>
      <c r="Z214" s="122">
        <f t="shared" si="253"/>
        <v>0</v>
      </c>
      <c r="AA214" s="122">
        <v>0</v>
      </c>
      <c r="AB214" s="122"/>
      <c r="AC214" s="26">
        <f t="shared" si="199"/>
        <v>204522</v>
      </c>
      <c r="AD214" s="122">
        <f t="shared" si="199"/>
        <v>1</v>
      </c>
      <c r="AE214" s="13">
        <v>204522</v>
      </c>
      <c r="AF214" s="122">
        <f t="shared" si="254"/>
        <v>1</v>
      </c>
      <c r="AG214" s="13"/>
      <c r="AH214" s="122">
        <f t="shared" si="255"/>
        <v>0</v>
      </c>
      <c r="AI214" s="13">
        <f t="shared" si="258"/>
        <v>22724.666666666668</v>
      </c>
      <c r="AJ214" s="13">
        <v>1</v>
      </c>
      <c r="AK214" s="13"/>
      <c r="AL214" s="13">
        <v>0</v>
      </c>
      <c r="AM214" s="13">
        <v>0</v>
      </c>
      <c r="AN214" s="122">
        <f t="shared" si="184"/>
        <v>0</v>
      </c>
      <c r="AO214" s="13"/>
      <c r="AP214" s="13">
        <f t="shared" si="259"/>
        <v>0</v>
      </c>
      <c r="AQ214" s="13"/>
      <c r="AR214" s="34">
        <f t="shared" si="202"/>
        <v>0</v>
      </c>
      <c r="AS214" s="10">
        <f t="shared" si="202"/>
        <v>0</v>
      </c>
      <c r="AT214" s="19"/>
      <c r="AU214" s="10">
        <f t="shared" si="212"/>
        <v>0</v>
      </c>
      <c r="AV214" s="19"/>
      <c r="AW214" s="10">
        <f t="shared" si="213"/>
        <v>0</v>
      </c>
      <c r="AX214" s="19"/>
      <c r="AY214" s="19"/>
      <c r="AZ214" s="19"/>
      <c r="BA214" s="19">
        <v>0</v>
      </c>
      <c r="BB214" s="19">
        <v>0</v>
      </c>
      <c r="BC214" s="10">
        <f t="shared" si="182"/>
        <v>0</v>
      </c>
      <c r="BD214" s="19"/>
      <c r="BE214" s="26">
        <f t="shared" si="237"/>
        <v>0</v>
      </c>
      <c r="BF214" s="122">
        <f t="shared" si="237"/>
        <v>0</v>
      </c>
      <c r="BG214" s="13"/>
      <c r="BH214" s="122">
        <f t="shared" si="256"/>
        <v>0</v>
      </c>
      <c r="BI214" s="13"/>
      <c r="BJ214" s="122">
        <f t="shared" si="205"/>
        <v>0</v>
      </c>
      <c r="BK214" s="13"/>
      <c r="BL214" s="13"/>
      <c r="BM214" s="13"/>
      <c r="BN214" s="13" t="s">
        <v>1651</v>
      </c>
      <c r="BO214" s="13" t="s">
        <v>1652</v>
      </c>
      <c r="BP214" s="13" t="s">
        <v>1653</v>
      </c>
      <c r="BQ214" s="13" t="s">
        <v>1015</v>
      </c>
      <c r="BR214" s="13" t="s">
        <v>1016</v>
      </c>
      <c r="BS214" s="13" t="s">
        <v>1654</v>
      </c>
      <c r="BT214" s="63" t="s">
        <v>1017</v>
      </c>
    </row>
    <row r="215" spans="1:77" ht="36" hidden="1" customHeight="1" outlineLevel="1" x14ac:dyDescent="0.25">
      <c r="A215" s="124"/>
      <c r="B215" s="59">
        <v>5</v>
      </c>
      <c r="C215" s="122" t="s">
        <v>1488</v>
      </c>
      <c r="D215" s="122" t="s">
        <v>1493</v>
      </c>
      <c r="E215" s="122" t="s">
        <v>9</v>
      </c>
      <c r="F215" s="122">
        <v>437019</v>
      </c>
      <c r="G215" s="122">
        <v>432901</v>
      </c>
      <c r="H215" s="122">
        <v>406290</v>
      </c>
      <c r="I215" s="122">
        <f t="shared" si="250"/>
        <v>26611</v>
      </c>
      <c r="J215" s="122">
        <v>1</v>
      </c>
      <c r="K215" s="122">
        <v>1</v>
      </c>
      <c r="L215" s="122"/>
      <c r="M215" s="13">
        <v>200000</v>
      </c>
      <c r="N215" s="122">
        <f t="shared" si="257"/>
        <v>206290</v>
      </c>
      <c r="O215" s="122">
        <v>209611</v>
      </c>
      <c r="P215" s="122">
        <v>1</v>
      </c>
      <c r="Q215" s="26">
        <v>209611</v>
      </c>
      <c r="R215" s="122">
        <v>1</v>
      </c>
      <c r="S215" s="122">
        <f t="shared" si="195"/>
        <v>23950</v>
      </c>
      <c r="T215" s="122"/>
      <c r="U215" s="26">
        <f t="shared" si="251"/>
        <v>185661</v>
      </c>
      <c r="V215" s="122">
        <f t="shared" si="251"/>
        <v>1</v>
      </c>
      <c r="W215" s="13">
        <v>185661</v>
      </c>
      <c r="X215" s="122">
        <f t="shared" si="252"/>
        <v>1</v>
      </c>
      <c r="Y215" s="13"/>
      <c r="Z215" s="122">
        <f t="shared" si="253"/>
        <v>0</v>
      </c>
      <c r="AA215" s="122">
        <v>0</v>
      </c>
      <c r="AB215" s="122"/>
      <c r="AC215" s="26">
        <f t="shared" si="199"/>
        <v>185661</v>
      </c>
      <c r="AD215" s="122">
        <f t="shared" si="199"/>
        <v>1</v>
      </c>
      <c r="AE215" s="13">
        <v>185661</v>
      </c>
      <c r="AF215" s="122">
        <f t="shared" si="254"/>
        <v>1</v>
      </c>
      <c r="AG215" s="13"/>
      <c r="AH215" s="122">
        <f t="shared" si="255"/>
        <v>0</v>
      </c>
      <c r="AI215" s="13">
        <f t="shared" si="258"/>
        <v>20629</v>
      </c>
      <c r="AJ215" s="13">
        <v>1</v>
      </c>
      <c r="AK215" s="13"/>
      <c r="AL215" s="13">
        <v>0</v>
      </c>
      <c r="AM215" s="13">
        <v>0</v>
      </c>
      <c r="AN215" s="122">
        <f t="shared" si="184"/>
        <v>0</v>
      </c>
      <c r="AO215" s="13"/>
      <c r="AP215" s="13">
        <f t="shared" si="259"/>
        <v>0</v>
      </c>
      <c r="AQ215" s="13"/>
      <c r="AR215" s="34">
        <f t="shared" si="202"/>
        <v>0</v>
      </c>
      <c r="AS215" s="10">
        <f t="shared" si="202"/>
        <v>0</v>
      </c>
      <c r="AT215" s="19"/>
      <c r="AU215" s="10">
        <f t="shared" si="212"/>
        <v>0</v>
      </c>
      <c r="AV215" s="19"/>
      <c r="AW215" s="10">
        <f t="shared" si="213"/>
        <v>0</v>
      </c>
      <c r="AX215" s="19"/>
      <c r="AY215" s="19"/>
      <c r="AZ215" s="19"/>
      <c r="BA215" s="19">
        <v>0</v>
      </c>
      <c r="BB215" s="19">
        <v>0</v>
      </c>
      <c r="BC215" s="10">
        <f t="shared" si="182"/>
        <v>0</v>
      </c>
      <c r="BD215" s="19"/>
      <c r="BE215" s="26">
        <f t="shared" si="237"/>
        <v>0</v>
      </c>
      <c r="BF215" s="122">
        <f t="shared" si="237"/>
        <v>0</v>
      </c>
      <c r="BG215" s="13"/>
      <c r="BH215" s="122">
        <f t="shared" si="256"/>
        <v>0</v>
      </c>
      <c r="BI215" s="13"/>
      <c r="BJ215" s="122">
        <f t="shared" si="205"/>
        <v>0</v>
      </c>
      <c r="BK215" s="13"/>
      <c r="BL215" s="13"/>
      <c r="BM215" s="13"/>
      <c r="BN215" s="13" t="s">
        <v>917</v>
      </c>
      <c r="BO215" s="13" t="s">
        <v>1655</v>
      </c>
      <c r="BP215" s="13" t="s">
        <v>1193</v>
      </c>
      <c r="BQ215" s="13" t="s">
        <v>1036</v>
      </c>
      <c r="BR215" s="13" t="s">
        <v>1656</v>
      </c>
      <c r="BS215" s="13" t="s">
        <v>1194</v>
      </c>
      <c r="BT215" s="63" t="s">
        <v>1195</v>
      </c>
    </row>
    <row r="216" spans="1:77" ht="39.75" hidden="1" customHeight="1" outlineLevel="1" x14ac:dyDescent="0.25">
      <c r="A216" s="124"/>
      <c r="B216" s="59">
        <v>6</v>
      </c>
      <c r="C216" s="122" t="s">
        <v>1489</v>
      </c>
      <c r="D216" s="122" t="s">
        <v>1492</v>
      </c>
      <c r="E216" s="122" t="s">
        <v>9</v>
      </c>
      <c r="F216" s="122">
        <v>547739</v>
      </c>
      <c r="G216" s="122">
        <v>542355</v>
      </c>
      <c r="H216" s="122">
        <v>508951</v>
      </c>
      <c r="I216" s="122">
        <f t="shared" si="250"/>
        <v>33404</v>
      </c>
      <c r="J216" s="122">
        <v>1</v>
      </c>
      <c r="K216" s="122">
        <v>1</v>
      </c>
      <c r="L216" s="122"/>
      <c r="M216" s="13">
        <v>244444</v>
      </c>
      <c r="N216" s="122">
        <f t="shared" si="257"/>
        <v>264506.66666666669</v>
      </c>
      <c r="O216" s="122">
        <v>268119</v>
      </c>
      <c r="P216" s="122">
        <v>1</v>
      </c>
      <c r="Q216" s="26">
        <v>268119</v>
      </c>
      <c r="R216" s="122">
        <v>1</v>
      </c>
      <c r="S216" s="122">
        <f t="shared" si="195"/>
        <v>30063</v>
      </c>
      <c r="T216" s="122"/>
      <c r="U216" s="26">
        <f t="shared" si="251"/>
        <v>238056</v>
      </c>
      <c r="V216" s="122">
        <f t="shared" si="251"/>
        <v>1</v>
      </c>
      <c r="W216" s="13">
        <v>238056</v>
      </c>
      <c r="X216" s="122">
        <f t="shared" si="252"/>
        <v>1</v>
      </c>
      <c r="Y216" s="13"/>
      <c r="Z216" s="122">
        <f t="shared" si="253"/>
        <v>0</v>
      </c>
      <c r="AA216" s="122">
        <v>0</v>
      </c>
      <c r="AB216" s="122"/>
      <c r="AC216" s="26">
        <f t="shared" si="199"/>
        <v>238056</v>
      </c>
      <c r="AD216" s="122">
        <f t="shared" si="199"/>
        <v>1</v>
      </c>
      <c r="AE216" s="13">
        <v>238056</v>
      </c>
      <c r="AF216" s="122">
        <f t="shared" si="254"/>
        <v>1</v>
      </c>
      <c r="AG216" s="13"/>
      <c r="AH216" s="122">
        <f t="shared" si="255"/>
        <v>0</v>
      </c>
      <c r="AI216" s="13">
        <f t="shared" si="258"/>
        <v>26450.666666666672</v>
      </c>
      <c r="AJ216" s="13">
        <v>1</v>
      </c>
      <c r="AK216" s="13"/>
      <c r="AL216" s="13">
        <v>0</v>
      </c>
      <c r="AM216" s="13">
        <v>0</v>
      </c>
      <c r="AN216" s="122">
        <f t="shared" si="184"/>
        <v>0</v>
      </c>
      <c r="AO216" s="13"/>
      <c r="AP216" s="13">
        <f t="shared" si="259"/>
        <v>0</v>
      </c>
      <c r="AQ216" s="13"/>
      <c r="AR216" s="34">
        <f t="shared" si="202"/>
        <v>0</v>
      </c>
      <c r="AS216" s="10">
        <f t="shared" si="202"/>
        <v>0</v>
      </c>
      <c r="AT216" s="19"/>
      <c r="AU216" s="10">
        <f t="shared" si="212"/>
        <v>0</v>
      </c>
      <c r="AV216" s="19"/>
      <c r="AW216" s="10">
        <f t="shared" si="213"/>
        <v>0</v>
      </c>
      <c r="AX216" s="19"/>
      <c r="AY216" s="19"/>
      <c r="AZ216" s="19"/>
      <c r="BA216" s="19">
        <v>0</v>
      </c>
      <c r="BB216" s="19">
        <v>0</v>
      </c>
      <c r="BC216" s="10">
        <f t="shared" si="182"/>
        <v>0</v>
      </c>
      <c r="BD216" s="19"/>
      <c r="BE216" s="26">
        <f t="shared" si="237"/>
        <v>0</v>
      </c>
      <c r="BF216" s="122">
        <f t="shared" si="237"/>
        <v>0</v>
      </c>
      <c r="BG216" s="13"/>
      <c r="BH216" s="122">
        <f t="shared" si="256"/>
        <v>0</v>
      </c>
      <c r="BI216" s="13"/>
      <c r="BJ216" s="122">
        <f t="shared" si="205"/>
        <v>0</v>
      </c>
      <c r="BK216" s="13"/>
      <c r="BL216" s="13"/>
      <c r="BM216" s="13"/>
      <c r="BN216" s="13" t="s">
        <v>1657</v>
      </c>
      <c r="BO216" s="13" t="s">
        <v>1022</v>
      </c>
      <c r="BP216" s="13" t="s">
        <v>1658</v>
      </c>
      <c r="BQ216" s="13" t="s">
        <v>1021</v>
      </c>
      <c r="BR216" s="13" t="s">
        <v>1659</v>
      </c>
      <c r="BS216" s="13" t="s">
        <v>1660</v>
      </c>
      <c r="BT216" s="63" t="s">
        <v>1661</v>
      </c>
    </row>
    <row r="217" spans="1:77" ht="49.5" hidden="1" customHeight="1" outlineLevel="1" x14ac:dyDescent="0.25">
      <c r="A217" s="124"/>
      <c r="B217" s="59">
        <v>7</v>
      </c>
      <c r="C217" s="122" t="s">
        <v>1490</v>
      </c>
      <c r="D217" s="122" t="s">
        <v>1491</v>
      </c>
      <c r="E217" s="122" t="s">
        <v>9</v>
      </c>
      <c r="F217" s="122">
        <v>890272</v>
      </c>
      <c r="G217" s="122">
        <v>864526</v>
      </c>
      <c r="H217" s="122">
        <v>819316</v>
      </c>
      <c r="I217" s="122">
        <f t="shared" si="250"/>
        <v>45210</v>
      </c>
      <c r="J217" s="122">
        <v>1</v>
      </c>
      <c r="K217" s="122">
        <v>1</v>
      </c>
      <c r="L217" s="122"/>
      <c r="M217" s="13">
        <v>277778</v>
      </c>
      <c r="N217" s="122">
        <f t="shared" si="257"/>
        <v>541537.77777777775</v>
      </c>
      <c r="O217" s="122">
        <v>528073</v>
      </c>
      <c r="P217" s="122">
        <v>1</v>
      </c>
      <c r="Q217" s="26">
        <v>528073</v>
      </c>
      <c r="R217" s="122">
        <v>1</v>
      </c>
      <c r="S217" s="122">
        <f t="shared" si="195"/>
        <v>40689</v>
      </c>
      <c r="T217" s="122"/>
      <c r="U217" s="26">
        <f t="shared" si="251"/>
        <v>487384</v>
      </c>
      <c r="V217" s="122">
        <f t="shared" si="251"/>
        <v>1</v>
      </c>
      <c r="W217" s="13">
        <v>487384</v>
      </c>
      <c r="X217" s="122">
        <f t="shared" si="252"/>
        <v>1</v>
      </c>
      <c r="Y217" s="13"/>
      <c r="Z217" s="122">
        <f t="shared" si="253"/>
        <v>0</v>
      </c>
      <c r="AA217" s="122">
        <v>0</v>
      </c>
      <c r="AB217" s="122"/>
      <c r="AC217" s="26">
        <f t="shared" si="199"/>
        <v>487384</v>
      </c>
      <c r="AD217" s="122">
        <f t="shared" si="199"/>
        <v>1</v>
      </c>
      <c r="AE217" s="13">
        <v>487384</v>
      </c>
      <c r="AF217" s="122">
        <f t="shared" si="254"/>
        <v>1</v>
      </c>
      <c r="AG217" s="13"/>
      <c r="AH217" s="122">
        <f t="shared" si="255"/>
        <v>0</v>
      </c>
      <c r="AI217" s="13">
        <f t="shared" si="258"/>
        <v>54153.777777777781</v>
      </c>
      <c r="AJ217" s="13">
        <v>1</v>
      </c>
      <c r="AK217" s="13"/>
      <c r="AL217" s="13">
        <v>0</v>
      </c>
      <c r="AM217" s="13">
        <v>0</v>
      </c>
      <c r="AN217" s="122">
        <f t="shared" si="184"/>
        <v>0</v>
      </c>
      <c r="AO217" s="13"/>
      <c r="AP217" s="13">
        <f t="shared" si="259"/>
        <v>0</v>
      </c>
      <c r="AQ217" s="13"/>
      <c r="AR217" s="34">
        <f t="shared" si="202"/>
        <v>0</v>
      </c>
      <c r="AS217" s="10">
        <f t="shared" si="202"/>
        <v>0</v>
      </c>
      <c r="AT217" s="19"/>
      <c r="AU217" s="10">
        <f t="shared" si="212"/>
        <v>0</v>
      </c>
      <c r="AV217" s="19"/>
      <c r="AW217" s="10">
        <f t="shared" si="213"/>
        <v>0</v>
      </c>
      <c r="AX217" s="19"/>
      <c r="AY217" s="19"/>
      <c r="AZ217" s="19"/>
      <c r="BA217" s="19">
        <v>0</v>
      </c>
      <c r="BB217" s="19">
        <v>0</v>
      </c>
      <c r="BC217" s="10">
        <f t="shared" si="182"/>
        <v>0</v>
      </c>
      <c r="BD217" s="19"/>
      <c r="BE217" s="26">
        <f t="shared" si="237"/>
        <v>0</v>
      </c>
      <c r="BF217" s="122">
        <f t="shared" si="237"/>
        <v>0</v>
      </c>
      <c r="BG217" s="13"/>
      <c r="BH217" s="122">
        <f t="shared" si="256"/>
        <v>0</v>
      </c>
      <c r="BI217" s="13"/>
      <c r="BJ217" s="122">
        <f t="shared" si="205"/>
        <v>0</v>
      </c>
      <c r="BK217" s="13"/>
      <c r="BL217" s="13"/>
      <c r="BM217" s="13"/>
      <c r="BN217" s="13" t="s">
        <v>916</v>
      </c>
      <c r="BO217" s="13" t="s">
        <v>1662</v>
      </c>
      <c r="BP217" s="13" t="s">
        <v>1228</v>
      </c>
      <c r="BQ217" s="13" t="s">
        <v>1018</v>
      </c>
      <c r="BR217" s="13" t="s">
        <v>1019</v>
      </c>
      <c r="BS217" s="13" t="s">
        <v>1020</v>
      </c>
      <c r="BT217" s="63" t="s">
        <v>1663</v>
      </c>
    </row>
    <row r="218" spans="1:77" ht="42.75" hidden="1" customHeight="1" outlineLevel="1" x14ac:dyDescent="0.25">
      <c r="A218" s="124"/>
      <c r="B218" s="59">
        <v>8</v>
      </c>
      <c r="C218" s="122" t="s">
        <v>311</v>
      </c>
      <c r="D218" s="122" t="s">
        <v>312</v>
      </c>
      <c r="E218" s="122" t="s">
        <v>9</v>
      </c>
      <c r="F218" s="122">
        <v>590718</v>
      </c>
      <c r="G218" s="122">
        <v>575964</v>
      </c>
      <c r="H218" s="122">
        <v>559957</v>
      </c>
      <c r="I218" s="122">
        <f t="shared" si="250"/>
        <v>16007</v>
      </c>
      <c r="J218" s="122">
        <v>1</v>
      </c>
      <c r="K218" s="122">
        <v>1</v>
      </c>
      <c r="L218" s="122"/>
      <c r="M218" s="13">
        <v>352604</v>
      </c>
      <c r="N218" s="122">
        <f t="shared" si="257"/>
        <v>207353.33333333334</v>
      </c>
      <c r="O218" s="122">
        <v>201024</v>
      </c>
      <c r="P218" s="122">
        <v>1</v>
      </c>
      <c r="Q218" s="26">
        <v>201024</v>
      </c>
      <c r="R218" s="122">
        <v>1</v>
      </c>
      <c r="S218" s="122">
        <f t="shared" si="195"/>
        <v>14406</v>
      </c>
      <c r="T218" s="122"/>
      <c r="U218" s="26">
        <f t="shared" si="251"/>
        <v>186618</v>
      </c>
      <c r="V218" s="122">
        <f t="shared" si="251"/>
        <v>1</v>
      </c>
      <c r="W218" s="13">
        <v>186618</v>
      </c>
      <c r="X218" s="122">
        <f t="shared" si="252"/>
        <v>1</v>
      </c>
      <c r="Y218" s="13"/>
      <c r="Z218" s="122">
        <f t="shared" si="253"/>
        <v>0</v>
      </c>
      <c r="AA218" s="122">
        <v>0</v>
      </c>
      <c r="AB218" s="122"/>
      <c r="AC218" s="26">
        <f t="shared" si="199"/>
        <v>186618</v>
      </c>
      <c r="AD218" s="122">
        <f t="shared" si="199"/>
        <v>1</v>
      </c>
      <c r="AE218" s="13">
        <f>186618</f>
        <v>186618</v>
      </c>
      <c r="AF218" s="122">
        <f t="shared" si="254"/>
        <v>1</v>
      </c>
      <c r="AG218" s="13"/>
      <c r="AH218" s="122">
        <f t="shared" si="255"/>
        <v>0</v>
      </c>
      <c r="AI218" s="13">
        <f t="shared" si="258"/>
        <v>20735.333333333332</v>
      </c>
      <c r="AJ218" s="13">
        <v>1</v>
      </c>
      <c r="AK218" s="13"/>
      <c r="AL218" s="13">
        <v>0</v>
      </c>
      <c r="AM218" s="13">
        <v>0</v>
      </c>
      <c r="AN218" s="122">
        <f t="shared" si="184"/>
        <v>-13014</v>
      </c>
      <c r="AO218" s="13"/>
      <c r="AP218" s="13">
        <f t="shared" si="259"/>
        <v>0</v>
      </c>
      <c r="AQ218" s="13"/>
      <c r="AR218" s="34">
        <f t="shared" si="202"/>
        <v>13014</v>
      </c>
      <c r="AS218" s="10">
        <f t="shared" si="202"/>
        <v>1</v>
      </c>
      <c r="AT218" s="19">
        <v>13014</v>
      </c>
      <c r="AU218" s="10">
        <f t="shared" si="212"/>
        <v>1</v>
      </c>
      <c r="AV218" s="19"/>
      <c r="AW218" s="10">
        <f t="shared" si="213"/>
        <v>0</v>
      </c>
      <c r="AX218" s="19">
        <f>AR218/0.9*0.1</f>
        <v>1446</v>
      </c>
      <c r="AY218" s="19"/>
      <c r="AZ218" s="19"/>
      <c r="BA218" s="19">
        <v>0</v>
      </c>
      <c r="BB218" s="19">
        <v>0</v>
      </c>
      <c r="BC218" s="10">
        <f t="shared" si="182"/>
        <v>0</v>
      </c>
      <c r="BD218" s="19"/>
      <c r="BE218" s="26">
        <f t="shared" si="237"/>
        <v>0</v>
      </c>
      <c r="BF218" s="122">
        <f t="shared" si="237"/>
        <v>0</v>
      </c>
      <c r="BG218" s="13"/>
      <c r="BH218" s="122">
        <f t="shared" si="256"/>
        <v>0</v>
      </c>
      <c r="BI218" s="13"/>
      <c r="BJ218" s="122">
        <f t="shared" si="205"/>
        <v>0</v>
      </c>
      <c r="BK218" s="13">
        <f>BE218/0.9*0.1</f>
        <v>0</v>
      </c>
      <c r="BL218" s="13"/>
      <c r="BM218" s="13"/>
      <c r="BN218" s="13" t="s">
        <v>1122</v>
      </c>
      <c r="BO218" s="13" t="s">
        <v>1664</v>
      </c>
      <c r="BP218" s="13" t="s">
        <v>1665</v>
      </c>
      <c r="BQ218" s="13" t="s">
        <v>1121</v>
      </c>
      <c r="BR218" s="13" t="s">
        <v>1120</v>
      </c>
      <c r="BS218" s="13" t="s">
        <v>11</v>
      </c>
      <c r="BT218" s="63" t="s">
        <v>1666</v>
      </c>
    </row>
    <row r="219" spans="1:77" ht="44.25" hidden="1" customHeight="1" outlineLevel="1" x14ac:dyDescent="0.25">
      <c r="A219" s="124"/>
      <c r="B219" s="59">
        <v>9</v>
      </c>
      <c r="C219" s="122" t="s">
        <v>1478</v>
      </c>
      <c r="D219" s="122" t="s">
        <v>1479</v>
      </c>
      <c r="E219" s="122" t="s">
        <v>9</v>
      </c>
      <c r="F219" s="122">
        <v>542270</v>
      </c>
      <c r="G219" s="122">
        <v>509385.16499999998</v>
      </c>
      <c r="H219" s="122">
        <v>476094</v>
      </c>
      <c r="I219" s="122">
        <f t="shared" si="250"/>
        <v>33291.164999999979</v>
      </c>
      <c r="J219" s="122">
        <v>1</v>
      </c>
      <c r="K219" s="122">
        <v>1</v>
      </c>
      <c r="L219" s="122"/>
      <c r="M219" s="13">
        <v>111828</v>
      </c>
      <c r="N219" s="122">
        <f t="shared" si="257"/>
        <v>364265.55555555556</v>
      </c>
      <c r="O219" s="122">
        <v>357802</v>
      </c>
      <c r="P219" s="122">
        <v>1</v>
      </c>
      <c r="Q219" s="26">
        <v>357802</v>
      </c>
      <c r="R219" s="122">
        <v>1</v>
      </c>
      <c r="S219" s="122">
        <f t="shared" si="195"/>
        <v>29963</v>
      </c>
      <c r="T219" s="122"/>
      <c r="U219" s="26">
        <f t="shared" si="251"/>
        <v>327839</v>
      </c>
      <c r="V219" s="122">
        <v>1</v>
      </c>
      <c r="W219" s="13">
        <v>327839</v>
      </c>
      <c r="X219" s="122">
        <f t="shared" si="252"/>
        <v>1</v>
      </c>
      <c r="Y219" s="13"/>
      <c r="Z219" s="122"/>
      <c r="AA219" s="122">
        <v>0</v>
      </c>
      <c r="AB219" s="122"/>
      <c r="AC219" s="26">
        <f t="shared" si="199"/>
        <v>327839</v>
      </c>
      <c r="AD219" s="122">
        <v>1</v>
      </c>
      <c r="AE219" s="13">
        <v>327839</v>
      </c>
      <c r="AF219" s="122">
        <f t="shared" si="254"/>
        <v>1</v>
      </c>
      <c r="AG219" s="13"/>
      <c r="AH219" s="122"/>
      <c r="AI219" s="13">
        <f t="shared" si="258"/>
        <v>36426.555555555555</v>
      </c>
      <c r="AJ219" s="13">
        <v>1</v>
      </c>
      <c r="AK219" s="13"/>
      <c r="AL219" s="13"/>
      <c r="AM219" s="13"/>
      <c r="AN219" s="122">
        <f t="shared" si="184"/>
        <v>0</v>
      </c>
      <c r="AO219" s="13"/>
      <c r="AP219" s="13">
        <f t="shared" si="259"/>
        <v>0</v>
      </c>
      <c r="AQ219" s="13"/>
      <c r="AR219" s="34"/>
      <c r="AS219" s="10"/>
      <c r="AT219" s="19"/>
      <c r="AU219" s="10"/>
      <c r="AV219" s="19"/>
      <c r="AW219" s="10"/>
      <c r="AX219" s="19"/>
      <c r="AY219" s="19"/>
      <c r="AZ219" s="19"/>
      <c r="BA219" s="19"/>
      <c r="BB219" s="19"/>
      <c r="BC219" s="10">
        <f t="shared" si="182"/>
        <v>0</v>
      </c>
      <c r="BD219" s="19"/>
      <c r="BE219" s="26">
        <f t="shared" si="237"/>
        <v>0</v>
      </c>
      <c r="BF219" s="122">
        <f t="shared" si="237"/>
        <v>0</v>
      </c>
      <c r="BG219" s="13"/>
      <c r="BH219" s="122">
        <f t="shared" si="256"/>
        <v>0</v>
      </c>
      <c r="BI219" s="13"/>
      <c r="BJ219" s="122">
        <f t="shared" si="205"/>
        <v>0</v>
      </c>
      <c r="BK219" s="13">
        <f t="shared" ref="BK219:BK231" si="260">BE219/0.9*0.1</f>
        <v>0</v>
      </c>
      <c r="BL219" s="13"/>
      <c r="BM219" s="13"/>
      <c r="BN219" s="13" t="s">
        <v>1667</v>
      </c>
      <c r="BO219" s="13" t="s">
        <v>1668</v>
      </c>
      <c r="BP219" s="13" t="s">
        <v>1669</v>
      </c>
      <c r="BQ219" s="13"/>
      <c r="BR219" s="13" t="s">
        <v>1670</v>
      </c>
      <c r="BS219" s="13" t="s">
        <v>1671</v>
      </c>
      <c r="BT219" s="63" t="s">
        <v>1672</v>
      </c>
    </row>
    <row r="220" spans="1:77" ht="47.25" hidden="1" customHeight="1" outlineLevel="1" x14ac:dyDescent="0.25">
      <c r="A220" s="124"/>
      <c r="B220" s="59">
        <v>10</v>
      </c>
      <c r="C220" s="122" t="s">
        <v>1486</v>
      </c>
      <c r="D220" s="45" t="s">
        <v>1487</v>
      </c>
      <c r="E220" s="122" t="s">
        <v>9</v>
      </c>
      <c r="F220" s="122">
        <v>1270448</v>
      </c>
      <c r="G220" s="122">
        <v>1243937.5319999999</v>
      </c>
      <c r="H220" s="122">
        <v>1138886</v>
      </c>
      <c r="I220" s="122">
        <f t="shared" si="250"/>
        <v>105051.53199999989</v>
      </c>
      <c r="J220" s="122">
        <v>1</v>
      </c>
      <c r="K220" s="122">
        <v>1</v>
      </c>
      <c r="L220" s="122"/>
      <c r="M220" s="13">
        <v>938324</v>
      </c>
      <c r="N220" s="122">
        <f t="shared" si="257"/>
        <v>200562.22222222222</v>
      </c>
      <c r="O220" s="122">
        <v>275052</v>
      </c>
      <c r="P220" s="122">
        <v>1</v>
      </c>
      <c r="Q220" s="26">
        <v>275052</v>
      </c>
      <c r="R220" s="122">
        <v>1</v>
      </c>
      <c r="S220" s="122">
        <f t="shared" si="195"/>
        <v>94546</v>
      </c>
      <c r="T220" s="122"/>
      <c r="U220" s="26">
        <f t="shared" si="251"/>
        <v>180506</v>
      </c>
      <c r="V220" s="122">
        <v>1</v>
      </c>
      <c r="W220" s="13">
        <v>180506</v>
      </c>
      <c r="X220" s="122">
        <f t="shared" si="252"/>
        <v>1</v>
      </c>
      <c r="Y220" s="13"/>
      <c r="Z220" s="122"/>
      <c r="AA220" s="122">
        <v>0</v>
      </c>
      <c r="AB220" s="122"/>
      <c r="AC220" s="26">
        <f t="shared" si="199"/>
        <v>180506</v>
      </c>
      <c r="AD220" s="122">
        <v>1</v>
      </c>
      <c r="AE220" s="13">
        <v>180506</v>
      </c>
      <c r="AF220" s="122">
        <f t="shared" si="254"/>
        <v>1</v>
      </c>
      <c r="AG220" s="13"/>
      <c r="AH220" s="122"/>
      <c r="AI220" s="13">
        <f t="shared" si="258"/>
        <v>20056.222222222223</v>
      </c>
      <c r="AJ220" s="13">
        <v>1</v>
      </c>
      <c r="AK220" s="13"/>
      <c r="AL220" s="13"/>
      <c r="AM220" s="13"/>
      <c r="AN220" s="122">
        <f t="shared" si="184"/>
        <v>0</v>
      </c>
      <c r="AO220" s="13"/>
      <c r="AP220" s="13">
        <f t="shared" si="259"/>
        <v>0</v>
      </c>
      <c r="AQ220" s="13"/>
      <c r="AR220" s="34"/>
      <c r="AS220" s="10"/>
      <c r="AT220" s="19"/>
      <c r="AU220" s="10"/>
      <c r="AV220" s="19"/>
      <c r="AW220" s="10"/>
      <c r="AX220" s="19"/>
      <c r="AY220" s="19"/>
      <c r="AZ220" s="19"/>
      <c r="BA220" s="19"/>
      <c r="BB220" s="19"/>
      <c r="BC220" s="10">
        <f t="shared" si="182"/>
        <v>0</v>
      </c>
      <c r="BD220" s="19"/>
      <c r="BE220" s="26">
        <f t="shared" si="237"/>
        <v>0</v>
      </c>
      <c r="BF220" s="122">
        <f t="shared" si="237"/>
        <v>0</v>
      </c>
      <c r="BG220" s="13"/>
      <c r="BH220" s="122">
        <f t="shared" si="256"/>
        <v>0</v>
      </c>
      <c r="BI220" s="13"/>
      <c r="BJ220" s="122">
        <f t="shared" si="205"/>
        <v>0</v>
      </c>
      <c r="BK220" s="13">
        <f t="shared" si="260"/>
        <v>0</v>
      </c>
      <c r="BL220" s="13"/>
      <c r="BM220" s="13"/>
      <c r="BN220" s="13" t="s">
        <v>1673</v>
      </c>
      <c r="BO220" s="13" t="s">
        <v>1674</v>
      </c>
      <c r="BP220" s="13" t="s">
        <v>1675</v>
      </c>
      <c r="BQ220" s="13" t="s">
        <v>1676</v>
      </c>
      <c r="BR220" s="13" t="s">
        <v>1677</v>
      </c>
      <c r="BS220" s="13" t="s">
        <v>11</v>
      </c>
      <c r="BT220" s="63" t="s">
        <v>11</v>
      </c>
    </row>
    <row r="221" spans="1:77" ht="94.5" hidden="1" customHeight="1" outlineLevel="1" x14ac:dyDescent="0.25">
      <c r="A221" s="124"/>
      <c r="B221" s="59"/>
      <c r="C221" s="112" t="s">
        <v>2034</v>
      </c>
      <c r="D221" s="45" t="s">
        <v>2079</v>
      </c>
      <c r="E221" s="122" t="s">
        <v>9</v>
      </c>
      <c r="F221" s="122">
        <v>98434</v>
      </c>
      <c r="G221" s="122">
        <v>96857</v>
      </c>
      <c r="H221" s="122"/>
      <c r="I221" s="122"/>
      <c r="J221" s="122"/>
      <c r="K221" s="122"/>
      <c r="L221" s="122"/>
      <c r="M221" s="13">
        <v>92013</v>
      </c>
      <c r="N221" s="122">
        <f t="shared" si="257"/>
        <v>4843.333333333333</v>
      </c>
      <c r="O221" s="122"/>
      <c r="P221" s="122"/>
      <c r="Q221" s="26"/>
      <c r="R221" s="122"/>
      <c r="S221" s="122"/>
      <c r="T221" s="122"/>
      <c r="U221" s="26"/>
      <c r="V221" s="122"/>
      <c r="W221" s="122"/>
      <c r="X221" s="122"/>
      <c r="Y221" s="122"/>
      <c r="Z221" s="122"/>
      <c r="AA221" s="122"/>
      <c r="AB221" s="122">
        <v>4359</v>
      </c>
      <c r="AC221" s="26">
        <f t="shared" si="199"/>
        <v>4359</v>
      </c>
      <c r="AD221" s="122">
        <v>1</v>
      </c>
      <c r="AE221" s="13">
        <v>4359</v>
      </c>
      <c r="AF221" s="122">
        <f t="shared" si="254"/>
        <v>1</v>
      </c>
      <c r="AG221" s="13"/>
      <c r="AH221" s="122"/>
      <c r="AI221" s="13">
        <f t="shared" si="258"/>
        <v>484.33333333333331</v>
      </c>
      <c r="AJ221" s="13"/>
      <c r="AK221" s="13"/>
      <c r="AL221" s="13"/>
      <c r="AM221" s="13"/>
      <c r="AN221" s="122"/>
      <c r="AO221" s="13"/>
      <c r="AP221" s="13">
        <f t="shared" si="259"/>
        <v>-4359</v>
      </c>
      <c r="AQ221" s="13"/>
      <c r="AR221" s="34"/>
      <c r="AS221" s="10"/>
      <c r="AT221" s="19"/>
      <c r="AU221" s="10"/>
      <c r="AV221" s="19"/>
      <c r="AW221" s="10"/>
      <c r="AX221" s="19"/>
      <c r="AY221" s="19"/>
      <c r="AZ221" s="19"/>
      <c r="BA221" s="19"/>
      <c r="BB221" s="19"/>
      <c r="BC221" s="10"/>
      <c r="BD221" s="19"/>
      <c r="BE221" s="26">
        <f t="shared" si="237"/>
        <v>0</v>
      </c>
      <c r="BF221" s="122">
        <f t="shared" si="237"/>
        <v>0</v>
      </c>
      <c r="BG221" s="13"/>
      <c r="BH221" s="122">
        <f t="shared" si="256"/>
        <v>0</v>
      </c>
      <c r="BI221" s="13"/>
      <c r="BJ221" s="122">
        <f t="shared" si="205"/>
        <v>0</v>
      </c>
      <c r="BK221" s="13">
        <f t="shared" si="260"/>
        <v>0</v>
      </c>
      <c r="BL221" s="13"/>
      <c r="BM221" s="13"/>
      <c r="BN221" s="13" t="s">
        <v>2037</v>
      </c>
      <c r="BO221" s="13" t="s">
        <v>2038</v>
      </c>
      <c r="BP221" s="13" t="s">
        <v>2039</v>
      </c>
      <c r="BQ221" s="13" t="s">
        <v>2040</v>
      </c>
      <c r="BR221" s="13" t="s">
        <v>2041</v>
      </c>
      <c r="BS221" s="13" t="s">
        <v>2042</v>
      </c>
      <c r="BT221" s="63"/>
    </row>
    <row r="222" spans="1:77" ht="90.75" hidden="1" customHeight="1" outlineLevel="1" x14ac:dyDescent="0.25">
      <c r="A222" s="124"/>
      <c r="B222" s="59"/>
      <c r="C222" s="112" t="s">
        <v>2035</v>
      </c>
      <c r="D222" s="45" t="s">
        <v>2080</v>
      </c>
      <c r="E222" s="122" t="s">
        <v>9</v>
      </c>
      <c r="F222" s="122">
        <v>97307</v>
      </c>
      <c r="G222" s="122">
        <v>95882</v>
      </c>
      <c r="H222" s="122"/>
      <c r="I222" s="122"/>
      <c r="J222" s="122"/>
      <c r="K222" s="122"/>
      <c r="L222" s="122"/>
      <c r="M222" s="13">
        <v>91088</v>
      </c>
      <c r="N222" s="122">
        <f t="shared" si="257"/>
        <v>4794.4444444444443</v>
      </c>
      <c r="O222" s="122"/>
      <c r="P222" s="122"/>
      <c r="Q222" s="26"/>
      <c r="R222" s="122"/>
      <c r="S222" s="122"/>
      <c r="T222" s="122"/>
      <c r="U222" s="26"/>
      <c r="V222" s="122"/>
      <c r="W222" s="122"/>
      <c r="X222" s="122"/>
      <c r="Y222" s="122"/>
      <c r="Z222" s="122"/>
      <c r="AA222" s="122"/>
      <c r="AB222" s="122">
        <v>4315</v>
      </c>
      <c r="AC222" s="26">
        <f t="shared" si="199"/>
        <v>4315</v>
      </c>
      <c r="AD222" s="122">
        <v>1</v>
      </c>
      <c r="AE222" s="13">
        <v>4315</v>
      </c>
      <c r="AF222" s="122">
        <f t="shared" si="254"/>
        <v>1</v>
      </c>
      <c r="AG222" s="13"/>
      <c r="AH222" s="122"/>
      <c r="AI222" s="13">
        <f t="shared" si="258"/>
        <v>479.44444444444446</v>
      </c>
      <c r="AJ222" s="13"/>
      <c r="AK222" s="13"/>
      <c r="AL222" s="13"/>
      <c r="AM222" s="13"/>
      <c r="AN222" s="122"/>
      <c r="AO222" s="13"/>
      <c r="AP222" s="13">
        <f t="shared" si="259"/>
        <v>-4315</v>
      </c>
      <c r="AQ222" s="13"/>
      <c r="AR222" s="34"/>
      <c r="AS222" s="10"/>
      <c r="AT222" s="19"/>
      <c r="AU222" s="10"/>
      <c r="AV222" s="19"/>
      <c r="AW222" s="10"/>
      <c r="AX222" s="19"/>
      <c r="AY222" s="19"/>
      <c r="AZ222" s="19"/>
      <c r="BA222" s="19"/>
      <c r="BB222" s="19"/>
      <c r="BC222" s="10"/>
      <c r="BD222" s="19"/>
      <c r="BE222" s="26">
        <f t="shared" si="237"/>
        <v>0</v>
      </c>
      <c r="BF222" s="122">
        <f t="shared" si="237"/>
        <v>0</v>
      </c>
      <c r="BG222" s="13"/>
      <c r="BH222" s="122">
        <f t="shared" si="256"/>
        <v>0</v>
      </c>
      <c r="BI222" s="13"/>
      <c r="BJ222" s="122">
        <f t="shared" si="205"/>
        <v>0</v>
      </c>
      <c r="BK222" s="13">
        <f t="shared" si="260"/>
        <v>0</v>
      </c>
      <c r="BL222" s="13"/>
      <c r="BM222" s="13"/>
      <c r="BN222" s="13" t="s">
        <v>2043</v>
      </c>
      <c r="BO222" s="13" t="s">
        <v>2038</v>
      </c>
      <c r="BP222" s="13" t="s">
        <v>2044</v>
      </c>
      <c r="BQ222" s="13" t="s">
        <v>2045</v>
      </c>
      <c r="BR222" s="13" t="s">
        <v>2046</v>
      </c>
      <c r="BS222" s="13" t="s">
        <v>2042</v>
      </c>
      <c r="BT222" s="63"/>
    </row>
    <row r="223" spans="1:77" ht="90.75" hidden="1" customHeight="1" outlineLevel="1" x14ac:dyDescent="0.25">
      <c r="A223" s="124"/>
      <c r="B223" s="59"/>
      <c r="C223" s="112" t="s">
        <v>2036</v>
      </c>
      <c r="D223" s="45" t="s">
        <v>2081</v>
      </c>
      <c r="E223" s="122" t="s">
        <v>9</v>
      </c>
      <c r="F223" s="122">
        <v>97904</v>
      </c>
      <c r="G223" s="122">
        <v>96437</v>
      </c>
      <c r="H223" s="122"/>
      <c r="I223" s="122"/>
      <c r="J223" s="122"/>
      <c r="K223" s="122"/>
      <c r="L223" s="122"/>
      <c r="M223" s="13">
        <v>91614</v>
      </c>
      <c r="N223" s="122">
        <f t="shared" si="257"/>
        <v>4822.2222222222226</v>
      </c>
      <c r="O223" s="122"/>
      <c r="P223" s="122"/>
      <c r="Q223" s="26"/>
      <c r="R223" s="122"/>
      <c r="S223" s="122"/>
      <c r="T223" s="122"/>
      <c r="U223" s="26"/>
      <c r="V223" s="122"/>
      <c r="W223" s="122"/>
      <c r="X223" s="122"/>
      <c r="Y223" s="122"/>
      <c r="Z223" s="122"/>
      <c r="AA223" s="122"/>
      <c r="AB223" s="122">
        <v>4340</v>
      </c>
      <c r="AC223" s="26">
        <f t="shared" si="199"/>
        <v>4340</v>
      </c>
      <c r="AD223" s="122">
        <v>1</v>
      </c>
      <c r="AE223" s="13">
        <v>4340</v>
      </c>
      <c r="AF223" s="122">
        <f t="shared" si="254"/>
        <v>1</v>
      </c>
      <c r="AG223" s="13"/>
      <c r="AH223" s="122"/>
      <c r="AI223" s="13">
        <f t="shared" si="258"/>
        <v>482.22222222222217</v>
      </c>
      <c r="AJ223" s="13"/>
      <c r="AK223" s="13"/>
      <c r="AL223" s="13"/>
      <c r="AM223" s="13"/>
      <c r="AN223" s="122"/>
      <c r="AO223" s="13"/>
      <c r="AP223" s="13">
        <f t="shared" si="259"/>
        <v>-4340</v>
      </c>
      <c r="AQ223" s="13"/>
      <c r="AR223" s="34"/>
      <c r="AS223" s="10"/>
      <c r="AT223" s="19"/>
      <c r="AU223" s="10"/>
      <c r="AV223" s="19"/>
      <c r="AW223" s="10"/>
      <c r="AX223" s="19"/>
      <c r="AY223" s="19"/>
      <c r="AZ223" s="19"/>
      <c r="BA223" s="19"/>
      <c r="BB223" s="19"/>
      <c r="BC223" s="10"/>
      <c r="BD223" s="19"/>
      <c r="BE223" s="26">
        <f t="shared" si="237"/>
        <v>0</v>
      </c>
      <c r="BF223" s="122">
        <f t="shared" si="237"/>
        <v>0</v>
      </c>
      <c r="BG223" s="13"/>
      <c r="BH223" s="122">
        <f t="shared" si="256"/>
        <v>0</v>
      </c>
      <c r="BI223" s="13"/>
      <c r="BJ223" s="122">
        <f t="shared" si="205"/>
        <v>0</v>
      </c>
      <c r="BK223" s="13">
        <f t="shared" si="260"/>
        <v>0</v>
      </c>
      <c r="BL223" s="13"/>
      <c r="BM223" s="13"/>
      <c r="BN223" s="13" t="s">
        <v>2047</v>
      </c>
      <c r="BO223" s="13" t="s">
        <v>2038</v>
      </c>
      <c r="BP223" s="13" t="s">
        <v>2048</v>
      </c>
      <c r="BQ223" s="13" t="s">
        <v>2049</v>
      </c>
      <c r="BR223" s="13" t="s">
        <v>2050</v>
      </c>
      <c r="BS223" s="13" t="s">
        <v>2042</v>
      </c>
      <c r="BT223" s="63"/>
    </row>
    <row r="224" spans="1:77" ht="63" hidden="1" customHeight="1" outlineLevel="1" x14ac:dyDescent="0.25">
      <c r="A224" s="124"/>
      <c r="B224" s="59">
        <v>11</v>
      </c>
      <c r="C224" s="122" t="s">
        <v>52</v>
      </c>
      <c r="D224" s="122" t="s">
        <v>1196</v>
      </c>
      <c r="E224" s="122" t="s">
        <v>324</v>
      </c>
      <c r="F224" s="13">
        <v>85633.971999999994</v>
      </c>
      <c r="G224" s="13">
        <v>79452.52</v>
      </c>
      <c r="H224" s="13"/>
      <c r="I224" s="13"/>
      <c r="J224" s="13"/>
      <c r="K224" s="13">
        <v>1</v>
      </c>
      <c r="L224" s="13">
        <v>1</v>
      </c>
      <c r="M224" s="13">
        <v>0</v>
      </c>
      <c r="N224" s="122">
        <f t="shared" si="257"/>
        <v>0</v>
      </c>
      <c r="O224" s="122">
        <v>71507</v>
      </c>
      <c r="P224" s="122">
        <v>1</v>
      </c>
      <c r="Q224" s="26">
        <v>71508</v>
      </c>
      <c r="R224" s="122">
        <v>1</v>
      </c>
      <c r="S224" s="122">
        <f t="shared" ref="S224:S287" si="261">Q224-AC224</f>
        <v>71508</v>
      </c>
      <c r="T224" s="122"/>
      <c r="U224" s="26">
        <f t="shared" ref="U224:V231" si="262">W224+Y224</f>
        <v>71508</v>
      </c>
      <c r="V224" s="122">
        <f t="shared" si="262"/>
        <v>1</v>
      </c>
      <c r="W224" s="13"/>
      <c r="X224" s="122">
        <f t="shared" ref="X224:X231" si="263">IF(W224,1,0)</f>
        <v>0</v>
      </c>
      <c r="Y224" s="13">
        <v>71508</v>
      </c>
      <c r="Z224" s="122">
        <f t="shared" ref="Z224:Z231" si="264">IF(Y224,1,0)</f>
        <v>1</v>
      </c>
      <c r="AA224" s="122">
        <v>-71508</v>
      </c>
      <c r="AB224" s="122"/>
      <c r="AC224" s="26">
        <f t="shared" si="199"/>
        <v>0</v>
      </c>
      <c r="AD224" s="122">
        <f t="shared" si="199"/>
        <v>0</v>
      </c>
      <c r="AE224" s="13"/>
      <c r="AF224" s="122">
        <f t="shared" si="254"/>
        <v>0</v>
      </c>
      <c r="AG224" s="13"/>
      <c r="AH224" s="122">
        <f t="shared" si="255"/>
        <v>0</v>
      </c>
      <c r="AI224" s="13">
        <f t="shared" si="258"/>
        <v>0</v>
      </c>
      <c r="AJ224" s="13">
        <v>1</v>
      </c>
      <c r="AK224" s="13"/>
      <c r="AL224" s="13">
        <v>0</v>
      </c>
      <c r="AM224" s="13">
        <v>0</v>
      </c>
      <c r="AN224" s="122">
        <f t="shared" ref="AN224:AN287" si="265">AL224-AR224</f>
        <v>-71508</v>
      </c>
      <c r="AO224" s="13"/>
      <c r="AP224" s="13">
        <f t="shared" si="259"/>
        <v>71508</v>
      </c>
      <c r="AQ224" s="13"/>
      <c r="AR224" s="34">
        <f t="shared" si="202"/>
        <v>71508</v>
      </c>
      <c r="AS224" s="10">
        <f t="shared" si="202"/>
        <v>1</v>
      </c>
      <c r="AT224" s="19"/>
      <c r="AU224" s="10">
        <f t="shared" si="212"/>
        <v>0</v>
      </c>
      <c r="AV224" s="19">
        <f>71508</f>
        <v>71508</v>
      </c>
      <c r="AW224" s="10">
        <f t="shared" si="213"/>
        <v>1</v>
      </c>
      <c r="AX224" s="19">
        <f>AR224/0.9*0.1</f>
        <v>7945.333333333333</v>
      </c>
      <c r="AY224" s="19"/>
      <c r="AZ224" s="19"/>
      <c r="BA224" s="19">
        <v>0</v>
      </c>
      <c r="BB224" s="19">
        <v>0</v>
      </c>
      <c r="BC224" s="10">
        <f t="shared" ref="BC224:BC287" si="266">BA224-BE224</f>
        <v>0</v>
      </c>
      <c r="BD224" s="19"/>
      <c r="BE224" s="26">
        <f t="shared" si="237"/>
        <v>0</v>
      </c>
      <c r="BF224" s="122">
        <f t="shared" si="237"/>
        <v>0</v>
      </c>
      <c r="BG224" s="13"/>
      <c r="BH224" s="122">
        <f t="shared" si="256"/>
        <v>0</v>
      </c>
      <c r="BI224" s="13"/>
      <c r="BJ224" s="122">
        <f t="shared" si="205"/>
        <v>0</v>
      </c>
      <c r="BK224" s="13">
        <f t="shared" si="260"/>
        <v>0</v>
      </c>
      <c r="BL224" s="13"/>
      <c r="BM224" s="13"/>
      <c r="BN224" s="13" t="s">
        <v>1279</v>
      </c>
      <c r="BO224" s="13" t="s">
        <v>51</v>
      </c>
      <c r="BP224" s="13" t="s">
        <v>1197</v>
      </c>
      <c r="BQ224" s="13" t="s">
        <v>1198</v>
      </c>
      <c r="BR224" s="13" t="s">
        <v>1199</v>
      </c>
      <c r="BS224" s="13" t="s">
        <v>50</v>
      </c>
      <c r="BT224" s="63" t="s">
        <v>1031</v>
      </c>
    </row>
    <row r="225" spans="1:77" s="3" customFormat="1" ht="59.25" hidden="1" customHeight="1" outlineLevel="1" x14ac:dyDescent="0.25">
      <c r="A225" s="124"/>
      <c r="B225" s="59">
        <v>12</v>
      </c>
      <c r="C225" s="122" t="s">
        <v>1281</v>
      </c>
      <c r="D225" s="122" t="s">
        <v>1200</v>
      </c>
      <c r="E225" s="122" t="s">
        <v>324</v>
      </c>
      <c r="F225" s="13">
        <v>77355.320000000007</v>
      </c>
      <c r="G225" s="13">
        <v>71954.52</v>
      </c>
      <c r="H225" s="13"/>
      <c r="I225" s="13"/>
      <c r="J225" s="13"/>
      <c r="K225" s="13">
        <v>1</v>
      </c>
      <c r="L225" s="13">
        <v>1</v>
      </c>
      <c r="M225" s="13">
        <v>0</v>
      </c>
      <c r="N225" s="122">
        <f t="shared" si="257"/>
        <v>0</v>
      </c>
      <c r="O225" s="122">
        <v>64759</v>
      </c>
      <c r="P225" s="122">
        <v>1</v>
      </c>
      <c r="Q225" s="26">
        <v>64760</v>
      </c>
      <c r="R225" s="122">
        <v>1</v>
      </c>
      <c r="S225" s="122">
        <f t="shared" si="261"/>
        <v>64760</v>
      </c>
      <c r="T225" s="122"/>
      <c r="U225" s="26">
        <f t="shared" si="262"/>
        <v>64760</v>
      </c>
      <c r="V225" s="122">
        <f t="shared" si="262"/>
        <v>1</v>
      </c>
      <c r="W225" s="13"/>
      <c r="X225" s="122">
        <f t="shared" si="263"/>
        <v>0</v>
      </c>
      <c r="Y225" s="13">
        <v>64760</v>
      </c>
      <c r="Z225" s="122">
        <f t="shared" si="264"/>
        <v>1</v>
      </c>
      <c r="AA225" s="122">
        <v>-64760</v>
      </c>
      <c r="AB225" s="122"/>
      <c r="AC225" s="26">
        <f t="shared" si="199"/>
        <v>0</v>
      </c>
      <c r="AD225" s="122">
        <f t="shared" si="199"/>
        <v>0</v>
      </c>
      <c r="AE225" s="13"/>
      <c r="AF225" s="122">
        <f t="shared" si="254"/>
        <v>0</v>
      </c>
      <c r="AG225" s="13"/>
      <c r="AH225" s="122">
        <f t="shared" si="255"/>
        <v>0</v>
      </c>
      <c r="AI225" s="13">
        <f t="shared" si="258"/>
        <v>0</v>
      </c>
      <c r="AJ225" s="13">
        <v>1</v>
      </c>
      <c r="AK225" s="13"/>
      <c r="AL225" s="13">
        <v>0</v>
      </c>
      <c r="AM225" s="13">
        <v>0</v>
      </c>
      <c r="AN225" s="122">
        <f t="shared" si="265"/>
        <v>-64760</v>
      </c>
      <c r="AO225" s="13"/>
      <c r="AP225" s="13">
        <f t="shared" si="259"/>
        <v>64760</v>
      </c>
      <c r="AQ225" s="13"/>
      <c r="AR225" s="34">
        <f t="shared" si="202"/>
        <v>64760</v>
      </c>
      <c r="AS225" s="10">
        <f t="shared" si="202"/>
        <v>1</v>
      </c>
      <c r="AT225" s="19"/>
      <c r="AU225" s="10">
        <f t="shared" si="212"/>
        <v>0</v>
      </c>
      <c r="AV225" s="19">
        <f>64760</f>
        <v>64760</v>
      </c>
      <c r="AW225" s="10">
        <f t="shared" si="213"/>
        <v>1</v>
      </c>
      <c r="AX225" s="19">
        <f t="shared" ref="AX225:AX231" si="267">AR225/0.9*0.1</f>
        <v>7195.5555555555547</v>
      </c>
      <c r="AY225" s="19"/>
      <c r="AZ225" s="19"/>
      <c r="BA225" s="19">
        <v>0</v>
      </c>
      <c r="BB225" s="19">
        <v>0</v>
      </c>
      <c r="BC225" s="10">
        <f t="shared" si="266"/>
        <v>0</v>
      </c>
      <c r="BD225" s="19"/>
      <c r="BE225" s="26">
        <f t="shared" si="237"/>
        <v>0</v>
      </c>
      <c r="BF225" s="122">
        <f t="shared" si="237"/>
        <v>0</v>
      </c>
      <c r="BG225" s="13"/>
      <c r="BH225" s="122">
        <f t="shared" si="256"/>
        <v>0</v>
      </c>
      <c r="BI225" s="13"/>
      <c r="BJ225" s="122">
        <f t="shared" si="205"/>
        <v>0</v>
      </c>
      <c r="BK225" s="13">
        <f t="shared" si="260"/>
        <v>0</v>
      </c>
      <c r="BL225" s="13"/>
      <c r="BM225" s="13"/>
      <c r="BN225" s="13" t="s">
        <v>53</v>
      </c>
      <c r="BO225" s="13" t="s">
        <v>1678</v>
      </c>
      <c r="BP225" s="13" t="s">
        <v>54</v>
      </c>
      <c r="BQ225" s="13" t="s">
        <v>1280</v>
      </c>
      <c r="BR225" s="13" t="s">
        <v>1201</v>
      </c>
      <c r="BS225" s="13" t="s">
        <v>50</v>
      </c>
      <c r="BT225" s="63" t="s">
        <v>1031</v>
      </c>
    </row>
    <row r="226" spans="1:77" s="3" customFormat="1" ht="54.75" hidden="1" customHeight="1" outlineLevel="1" x14ac:dyDescent="0.25">
      <c r="A226" s="124"/>
      <c r="B226" s="59">
        <v>13</v>
      </c>
      <c r="C226" s="122" t="s">
        <v>55</v>
      </c>
      <c r="D226" s="122" t="s">
        <v>56</v>
      </c>
      <c r="E226" s="122" t="s">
        <v>324</v>
      </c>
      <c r="F226" s="13">
        <v>82190.164999999994</v>
      </c>
      <c r="G226" s="13">
        <v>77640.98</v>
      </c>
      <c r="H226" s="13"/>
      <c r="I226" s="13"/>
      <c r="J226" s="13"/>
      <c r="K226" s="13">
        <v>1</v>
      </c>
      <c r="L226" s="13">
        <v>1</v>
      </c>
      <c r="M226" s="13">
        <v>0</v>
      </c>
      <c r="N226" s="122">
        <f t="shared" si="257"/>
        <v>0</v>
      </c>
      <c r="O226" s="122">
        <v>69877</v>
      </c>
      <c r="P226" s="122">
        <v>1</v>
      </c>
      <c r="Q226" s="26">
        <v>69877</v>
      </c>
      <c r="R226" s="122">
        <v>1</v>
      </c>
      <c r="S226" s="122">
        <f t="shared" si="261"/>
        <v>69877</v>
      </c>
      <c r="T226" s="122"/>
      <c r="U226" s="26">
        <f t="shared" si="262"/>
        <v>69877</v>
      </c>
      <c r="V226" s="122">
        <f t="shared" si="262"/>
        <v>1</v>
      </c>
      <c r="W226" s="13"/>
      <c r="X226" s="122">
        <f t="shared" si="263"/>
        <v>0</v>
      </c>
      <c r="Y226" s="13">
        <v>69877</v>
      </c>
      <c r="Z226" s="122">
        <f t="shared" si="264"/>
        <v>1</v>
      </c>
      <c r="AA226" s="122">
        <v>-69877</v>
      </c>
      <c r="AB226" s="122"/>
      <c r="AC226" s="26">
        <f t="shared" si="199"/>
        <v>0</v>
      </c>
      <c r="AD226" s="122">
        <f t="shared" si="199"/>
        <v>0</v>
      </c>
      <c r="AE226" s="13"/>
      <c r="AF226" s="122">
        <f t="shared" si="254"/>
        <v>0</v>
      </c>
      <c r="AG226" s="13"/>
      <c r="AH226" s="122">
        <f t="shared" si="255"/>
        <v>0</v>
      </c>
      <c r="AI226" s="13">
        <f t="shared" si="258"/>
        <v>0</v>
      </c>
      <c r="AJ226" s="13">
        <v>1</v>
      </c>
      <c r="AK226" s="13"/>
      <c r="AL226" s="13">
        <v>0</v>
      </c>
      <c r="AM226" s="13">
        <v>0</v>
      </c>
      <c r="AN226" s="122">
        <f t="shared" si="265"/>
        <v>-69877</v>
      </c>
      <c r="AO226" s="13"/>
      <c r="AP226" s="13">
        <f t="shared" si="259"/>
        <v>69877</v>
      </c>
      <c r="AQ226" s="13"/>
      <c r="AR226" s="34">
        <f t="shared" si="202"/>
        <v>69877</v>
      </c>
      <c r="AS226" s="10">
        <f t="shared" si="202"/>
        <v>1</v>
      </c>
      <c r="AT226" s="19"/>
      <c r="AU226" s="10">
        <f t="shared" si="212"/>
        <v>0</v>
      </c>
      <c r="AV226" s="19">
        <f>69877</f>
        <v>69877</v>
      </c>
      <c r="AW226" s="10">
        <f t="shared" si="213"/>
        <v>1</v>
      </c>
      <c r="AX226" s="19">
        <f t="shared" si="267"/>
        <v>7764.1111111111113</v>
      </c>
      <c r="AY226" s="19"/>
      <c r="AZ226" s="19"/>
      <c r="BA226" s="19">
        <v>0</v>
      </c>
      <c r="BB226" s="19">
        <v>0</v>
      </c>
      <c r="BC226" s="10">
        <f t="shared" si="266"/>
        <v>0</v>
      </c>
      <c r="BD226" s="19"/>
      <c r="BE226" s="26">
        <f t="shared" si="237"/>
        <v>0</v>
      </c>
      <c r="BF226" s="122">
        <f t="shared" si="237"/>
        <v>0</v>
      </c>
      <c r="BG226" s="13"/>
      <c r="BH226" s="122">
        <f t="shared" si="256"/>
        <v>0</v>
      </c>
      <c r="BI226" s="13"/>
      <c r="BJ226" s="122">
        <f t="shared" si="205"/>
        <v>0</v>
      </c>
      <c r="BK226" s="13">
        <f t="shared" si="260"/>
        <v>0</v>
      </c>
      <c r="BL226" s="13"/>
      <c r="BM226" s="13"/>
      <c r="BN226" s="13" t="s">
        <v>57</v>
      </c>
      <c r="BO226" s="13" t="s">
        <v>1678</v>
      </c>
      <c r="BP226" s="13" t="s">
        <v>1202</v>
      </c>
      <c r="BQ226" s="13" t="s">
        <v>1203</v>
      </c>
      <c r="BR226" s="13" t="s">
        <v>1204</v>
      </c>
      <c r="BS226" s="13" t="s">
        <v>100</v>
      </c>
      <c r="BT226" s="63" t="s">
        <v>1031</v>
      </c>
    </row>
    <row r="227" spans="1:77" s="3" customFormat="1" ht="57" hidden="1" customHeight="1" outlineLevel="1" x14ac:dyDescent="0.25">
      <c r="A227" s="124"/>
      <c r="B227" s="59">
        <v>14</v>
      </c>
      <c r="C227" s="122" t="s">
        <v>58</v>
      </c>
      <c r="D227" s="122" t="s">
        <v>59</v>
      </c>
      <c r="E227" s="122">
        <v>2015</v>
      </c>
      <c r="F227" s="13">
        <v>109658</v>
      </c>
      <c r="G227" s="13">
        <v>103177.155</v>
      </c>
      <c r="H227" s="13"/>
      <c r="I227" s="13"/>
      <c r="J227" s="13"/>
      <c r="K227" s="13">
        <v>1</v>
      </c>
      <c r="L227" s="13">
        <v>1</v>
      </c>
      <c r="M227" s="13">
        <v>0</v>
      </c>
      <c r="N227" s="122">
        <f t="shared" si="257"/>
        <v>0</v>
      </c>
      <c r="O227" s="122">
        <v>92859</v>
      </c>
      <c r="P227" s="122">
        <v>1</v>
      </c>
      <c r="Q227" s="26">
        <v>92859</v>
      </c>
      <c r="R227" s="122">
        <v>1</v>
      </c>
      <c r="S227" s="122">
        <f t="shared" si="261"/>
        <v>92859</v>
      </c>
      <c r="T227" s="122"/>
      <c r="U227" s="26">
        <f t="shared" si="262"/>
        <v>92859</v>
      </c>
      <c r="V227" s="122">
        <f t="shared" si="262"/>
        <v>1</v>
      </c>
      <c r="W227" s="13"/>
      <c r="X227" s="122">
        <f t="shared" si="263"/>
        <v>0</v>
      </c>
      <c r="Y227" s="13">
        <v>92859</v>
      </c>
      <c r="Z227" s="122">
        <f t="shared" si="264"/>
        <v>1</v>
      </c>
      <c r="AA227" s="122">
        <v>-92859</v>
      </c>
      <c r="AB227" s="122"/>
      <c r="AC227" s="26">
        <f t="shared" si="199"/>
        <v>0</v>
      </c>
      <c r="AD227" s="122">
        <f t="shared" si="199"/>
        <v>0</v>
      </c>
      <c r="AE227" s="13"/>
      <c r="AF227" s="122">
        <f t="shared" si="254"/>
        <v>0</v>
      </c>
      <c r="AG227" s="13"/>
      <c r="AH227" s="122">
        <f t="shared" si="255"/>
        <v>0</v>
      </c>
      <c r="AI227" s="13">
        <f t="shared" si="258"/>
        <v>0</v>
      </c>
      <c r="AJ227" s="13">
        <v>1</v>
      </c>
      <c r="AK227" s="13"/>
      <c r="AL227" s="13">
        <v>0</v>
      </c>
      <c r="AM227" s="13">
        <v>0</v>
      </c>
      <c r="AN227" s="122">
        <f t="shared" si="265"/>
        <v>-92859</v>
      </c>
      <c r="AO227" s="13"/>
      <c r="AP227" s="13">
        <f t="shared" si="259"/>
        <v>92859</v>
      </c>
      <c r="AQ227" s="13"/>
      <c r="AR227" s="34">
        <f t="shared" ref="AR227:AS278" si="268">AT227+AV227</f>
        <v>92859</v>
      </c>
      <c r="AS227" s="10">
        <f t="shared" si="268"/>
        <v>1</v>
      </c>
      <c r="AT227" s="19"/>
      <c r="AU227" s="10">
        <f t="shared" si="212"/>
        <v>0</v>
      </c>
      <c r="AV227" s="19">
        <f>92859</f>
        <v>92859</v>
      </c>
      <c r="AW227" s="10">
        <f t="shared" si="213"/>
        <v>1</v>
      </c>
      <c r="AX227" s="19">
        <f t="shared" si="267"/>
        <v>10317.666666666666</v>
      </c>
      <c r="AY227" s="19"/>
      <c r="AZ227" s="19"/>
      <c r="BA227" s="19">
        <v>0</v>
      </c>
      <c r="BB227" s="19">
        <v>0</v>
      </c>
      <c r="BC227" s="10">
        <f t="shared" si="266"/>
        <v>0</v>
      </c>
      <c r="BD227" s="19"/>
      <c r="BE227" s="26">
        <f t="shared" si="237"/>
        <v>0</v>
      </c>
      <c r="BF227" s="122">
        <f t="shared" si="237"/>
        <v>0</v>
      </c>
      <c r="BG227" s="13"/>
      <c r="BH227" s="122">
        <f t="shared" si="256"/>
        <v>0</v>
      </c>
      <c r="BI227" s="13"/>
      <c r="BJ227" s="122">
        <f t="shared" si="205"/>
        <v>0</v>
      </c>
      <c r="BK227" s="13">
        <f t="shared" si="260"/>
        <v>0</v>
      </c>
      <c r="BL227" s="13"/>
      <c r="BM227" s="13"/>
      <c r="BN227" s="13" t="s">
        <v>60</v>
      </c>
      <c r="BO227" s="13" t="s">
        <v>1678</v>
      </c>
      <c r="BP227" s="13" t="s">
        <v>101</v>
      </c>
      <c r="BQ227" s="13" t="s">
        <v>1205</v>
      </c>
      <c r="BR227" s="13" t="s">
        <v>102</v>
      </c>
      <c r="BS227" s="13" t="s">
        <v>100</v>
      </c>
      <c r="BT227" s="63" t="s">
        <v>1031</v>
      </c>
    </row>
    <row r="228" spans="1:77" s="3" customFormat="1" ht="55.5" hidden="1" customHeight="1" outlineLevel="1" x14ac:dyDescent="0.25">
      <c r="A228" s="124"/>
      <c r="B228" s="59">
        <v>15</v>
      </c>
      <c r="C228" s="122" t="s">
        <v>103</v>
      </c>
      <c r="D228" s="122" t="s">
        <v>104</v>
      </c>
      <c r="E228" s="122" t="s">
        <v>324</v>
      </c>
      <c r="F228" s="13">
        <v>126832</v>
      </c>
      <c r="G228" s="13">
        <v>110259</v>
      </c>
      <c r="H228" s="13"/>
      <c r="I228" s="13"/>
      <c r="J228" s="13"/>
      <c r="K228" s="13">
        <v>1</v>
      </c>
      <c r="L228" s="13">
        <v>1</v>
      </c>
      <c r="M228" s="13">
        <v>0</v>
      </c>
      <c r="N228" s="122">
        <f t="shared" si="257"/>
        <v>0</v>
      </c>
      <c r="O228" s="122">
        <v>99233</v>
      </c>
      <c r="P228" s="122">
        <v>1</v>
      </c>
      <c r="Q228" s="26">
        <v>99233</v>
      </c>
      <c r="R228" s="122">
        <v>1</v>
      </c>
      <c r="S228" s="122">
        <f t="shared" si="261"/>
        <v>99233</v>
      </c>
      <c r="T228" s="122"/>
      <c r="U228" s="26">
        <f t="shared" si="262"/>
        <v>99233</v>
      </c>
      <c r="V228" s="122">
        <f t="shared" si="262"/>
        <v>1</v>
      </c>
      <c r="W228" s="13"/>
      <c r="X228" s="122">
        <f t="shared" si="263"/>
        <v>0</v>
      </c>
      <c r="Y228" s="13">
        <v>99233</v>
      </c>
      <c r="Z228" s="122">
        <f t="shared" si="264"/>
        <v>1</v>
      </c>
      <c r="AA228" s="122">
        <v>-99233</v>
      </c>
      <c r="AB228" s="122"/>
      <c r="AC228" s="26">
        <f t="shared" ref="AC228:AD279" si="269">AE228+AG228</f>
        <v>0</v>
      </c>
      <c r="AD228" s="122">
        <f t="shared" si="269"/>
        <v>0</v>
      </c>
      <c r="AE228" s="13"/>
      <c r="AF228" s="122">
        <f t="shared" si="254"/>
        <v>0</v>
      </c>
      <c r="AG228" s="13"/>
      <c r="AH228" s="122">
        <f t="shared" si="255"/>
        <v>0</v>
      </c>
      <c r="AI228" s="13">
        <f t="shared" si="258"/>
        <v>0</v>
      </c>
      <c r="AJ228" s="13">
        <v>1</v>
      </c>
      <c r="AK228" s="13"/>
      <c r="AL228" s="13">
        <v>0</v>
      </c>
      <c r="AM228" s="13">
        <v>0</v>
      </c>
      <c r="AN228" s="122">
        <f t="shared" si="265"/>
        <v>-99233</v>
      </c>
      <c r="AO228" s="13"/>
      <c r="AP228" s="13">
        <f t="shared" si="259"/>
        <v>99233</v>
      </c>
      <c r="AQ228" s="13"/>
      <c r="AR228" s="34">
        <f t="shared" si="268"/>
        <v>99233</v>
      </c>
      <c r="AS228" s="10">
        <f t="shared" si="268"/>
        <v>1</v>
      </c>
      <c r="AT228" s="19"/>
      <c r="AU228" s="10">
        <f t="shared" si="212"/>
        <v>0</v>
      </c>
      <c r="AV228" s="19">
        <f>99233</f>
        <v>99233</v>
      </c>
      <c r="AW228" s="10">
        <f t="shared" si="213"/>
        <v>1</v>
      </c>
      <c r="AX228" s="19">
        <f t="shared" si="267"/>
        <v>11025.888888888891</v>
      </c>
      <c r="AY228" s="19"/>
      <c r="AZ228" s="19"/>
      <c r="BA228" s="19">
        <v>0</v>
      </c>
      <c r="BB228" s="19">
        <v>0</v>
      </c>
      <c r="BC228" s="10">
        <f t="shared" si="266"/>
        <v>0</v>
      </c>
      <c r="BD228" s="19"/>
      <c r="BE228" s="26">
        <f t="shared" si="237"/>
        <v>0</v>
      </c>
      <c r="BF228" s="122">
        <f t="shared" si="237"/>
        <v>0</v>
      </c>
      <c r="BG228" s="13"/>
      <c r="BH228" s="122">
        <f t="shared" si="256"/>
        <v>0</v>
      </c>
      <c r="BI228" s="13"/>
      <c r="BJ228" s="122">
        <f t="shared" si="205"/>
        <v>0</v>
      </c>
      <c r="BK228" s="13">
        <f t="shared" si="260"/>
        <v>0</v>
      </c>
      <c r="BL228" s="13"/>
      <c r="BM228" s="13"/>
      <c r="BN228" s="41" t="s">
        <v>1143</v>
      </c>
      <c r="BO228" s="13" t="s">
        <v>1678</v>
      </c>
      <c r="BP228" s="13" t="s">
        <v>105</v>
      </c>
      <c r="BQ228" s="13" t="s">
        <v>106</v>
      </c>
      <c r="BR228" s="13" t="s">
        <v>107</v>
      </c>
      <c r="BS228" s="13" t="s">
        <v>100</v>
      </c>
      <c r="BT228" s="63" t="s">
        <v>1031</v>
      </c>
    </row>
    <row r="229" spans="1:77" s="3" customFormat="1" ht="56.25" hidden="1" customHeight="1" outlineLevel="1" x14ac:dyDescent="0.25">
      <c r="A229" s="124"/>
      <c r="B229" s="59">
        <v>16</v>
      </c>
      <c r="C229" s="122" t="s">
        <v>108</v>
      </c>
      <c r="D229" s="122" t="s">
        <v>109</v>
      </c>
      <c r="E229" s="122" t="s">
        <v>324</v>
      </c>
      <c r="F229" s="13">
        <v>78836</v>
      </c>
      <c r="G229" s="13">
        <v>72816.100000000006</v>
      </c>
      <c r="H229" s="13"/>
      <c r="I229" s="13"/>
      <c r="J229" s="13"/>
      <c r="K229" s="13">
        <v>1</v>
      </c>
      <c r="L229" s="13">
        <v>1</v>
      </c>
      <c r="M229" s="13">
        <v>0</v>
      </c>
      <c r="N229" s="122">
        <f t="shared" si="257"/>
        <v>0</v>
      </c>
      <c r="O229" s="122">
        <v>65534</v>
      </c>
      <c r="P229" s="122">
        <v>1</v>
      </c>
      <c r="Q229" s="26">
        <v>65534</v>
      </c>
      <c r="R229" s="122">
        <v>1</v>
      </c>
      <c r="S229" s="122">
        <f t="shared" si="261"/>
        <v>65534</v>
      </c>
      <c r="T229" s="122"/>
      <c r="U229" s="26">
        <f t="shared" si="262"/>
        <v>65534</v>
      </c>
      <c r="V229" s="122">
        <f t="shared" si="262"/>
        <v>1</v>
      </c>
      <c r="W229" s="13"/>
      <c r="X229" s="122">
        <f t="shared" si="263"/>
        <v>0</v>
      </c>
      <c r="Y229" s="13">
        <v>65534</v>
      </c>
      <c r="Z229" s="122">
        <f t="shared" si="264"/>
        <v>1</v>
      </c>
      <c r="AA229" s="122">
        <v>-65534</v>
      </c>
      <c r="AB229" s="122"/>
      <c r="AC229" s="26">
        <f t="shared" si="269"/>
        <v>0</v>
      </c>
      <c r="AD229" s="122">
        <f t="shared" si="269"/>
        <v>0</v>
      </c>
      <c r="AE229" s="13"/>
      <c r="AF229" s="122">
        <f t="shared" si="254"/>
        <v>0</v>
      </c>
      <c r="AG229" s="13"/>
      <c r="AH229" s="122">
        <f t="shared" si="255"/>
        <v>0</v>
      </c>
      <c r="AI229" s="13">
        <f t="shared" si="258"/>
        <v>0</v>
      </c>
      <c r="AJ229" s="13">
        <v>1</v>
      </c>
      <c r="AK229" s="13"/>
      <c r="AL229" s="13">
        <v>0</v>
      </c>
      <c r="AM229" s="13">
        <v>0</v>
      </c>
      <c r="AN229" s="122">
        <f t="shared" si="265"/>
        <v>-65534</v>
      </c>
      <c r="AO229" s="13"/>
      <c r="AP229" s="13">
        <f t="shared" si="259"/>
        <v>65534</v>
      </c>
      <c r="AQ229" s="13"/>
      <c r="AR229" s="34">
        <f t="shared" si="268"/>
        <v>65534</v>
      </c>
      <c r="AS229" s="10">
        <f t="shared" si="268"/>
        <v>1</v>
      </c>
      <c r="AT229" s="19"/>
      <c r="AU229" s="10">
        <f t="shared" si="212"/>
        <v>0</v>
      </c>
      <c r="AV229" s="19">
        <f>65534</f>
        <v>65534</v>
      </c>
      <c r="AW229" s="10">
        <f t="shared" si="213"/>
        <v>1</v>
      </c>
      <c r="AX229" s="19">
        <f t="shared" si="267"/>
        <v>7281.5555555555547</v>
      </c>
      <c r="AY229" s="19"/>
      <c r="AZ229" s="19"/>
      <c r="BA229" s="19">
        <v>0</v>
      </c>
      <c r="BB229" s="19">
        <v>0</v>
      </c>
      <c r="BC229" s="10">
        <f t="shared" si="266"/>
        <v>0</v>
      </c>
      <c r="BD229" s="19"/>
      <c r="BE229" s="26">
        <f t="shared" si="237"/>
        <v>0</v>
      </c>
      <c r="BF229" s="122">
        <f t="shared" si="237"/>
        <v>0</v>
      </c>
      <c r="BG229" s="13"/>
      <c r="BH229" s="122">
        <f t="shared" si="256"/>
        <v>0</v>
      </c>
      <c r="BI229" s="13"/>
      <c r="BJ229" s="122">
        <f t="shared" si="205"/>
        <v>0</v>
      </c>
      <c r="BK229" s="13">
        <f t="shared" si="260"/>
        <v>0</v>
      </c>
      <c r="BL229" s="13"/>
      <c r="BM229" s="13"/>
      <c r="BN229" s="13" t="s">
        <v>1027</v>
      </c>
      <c r="BO229" s="13" t="s">
        <v>1678</v>
      </c>
      <c r="BP229" s="13" t="s">
        <v>1028</v>
      </c>
      <c r="BQ229" s="13" t="s">
        <v>1029</v>
      </c>
      <c r="BR229" s="13" t="s">
        <v>1030</v>
      </c>
      <c r="BS229" s="13" t="s">
        <v>100</v>
      </c>
      <c r="BT229" s="63" t="s">
        <v>1031</v>
      </c>
    </row>
    <row r="230" spans="1:77" s="3" customFormat="1" ht="53.25" hidden="1" customHeight="1" outlineLevel="1" x14ac:dyDescent="0.25">
      <c r="A230" s="124"/>
      <c r="B230" s="59">
        <v>17</v>
      </c>
      <c r="C230" s="67" t="s">
        <v>325</v>
      </c>
      <c r="D230" s="122" t="s">
        <v>1144</v>
      </c>
      <c r="E230" s="122" t="s">
        <v>324</v>
      </c>
      <c r="F230" s="13">
        <v>73722</v>
      </c>
      <c r="G230" s="13">
        <v>70953</v>
      </c>
      <c r="H230" s="13"/>
      <c r="I230" s="13"/>
      <c r="J230" s="13"/>
      <c r="K230" s="13">
        <v>1</v>
      </c>
      <c r="L230" s="13">
        <v>1</v>
      </c>
      <c r="M230" s="13">
        <v>0</v>
      </c>
      <c r="N230" s="122">
        <f t="shared" si="257"/>
        <v>0</v>
      </c>
      <c r="O230" s="122">
        <v>63858</v>
      </c>
      <c r="P230" s="122">
        <v>1</v>
      </c>
      <c r="Q230" s="26">
        <v>63858</v>
      </c>
      <c r="R230" s="122">
        <v>1</v>
      </c>
      <c r="S230" s="122">
        <f t="shared" si="261"/>
        <v>63858</v>
      </c>
      <c r="T230" s="122"/>
      <c r="U230" s="26">
        <f t="shared" si="262"/>
        <v>63858</v>
      </c>
      <c r="V230" s="122">
        <f t="shared" si="262"/>
        <v>1</v>
      </c>
      <c r="W230" s="122"/>
      <c r="X230" s="122">
        <f t="shared" si="263"/>
        <v>0</v>
      </c>
      <c r="Y230" s="122">
        <v>63858</v>
      </c>
      <c r="Z230" s="122">
        <f t="shared" si="264"/>
        <v>1</v>
      </c>
      <c r="AA230" s="122">
        <v>-63858</v>
      </c>
      <c r="AB230" s="122"/>
      <c r="AC230" s="26">
        <f t="shared" si="269"/>
        <v>0</v>
      </c>
      <c r="AD230" s="122">
        <f t="shared" si="269"/>
        <v>0</v>
      </c>
      <c r="AE230" s="122"/>
      <c r="AF230" s="122">
        <f t="shared" si="254"/>
        <v>0</v>
      </c>
      <c r="AG230" s="122"/>
      <c r="AH230" s="122">
        <f t="shared" si="255"/>
        <v>0</v>
      </c>
      <c r="AI230" s="13">
        <f t="shared" si="258"/>
        <v>0</v>
      </c>
      <c r="AJ230" s="13">
        <v>1</v>
      </c>
      <c r="AK230" s="13"/>
      <c r="AL230" s="13">
        <v>0</v>
      </c>
      <c r="AM230" s="13">
        <v>0</v>
      </c>
      <c r="AN230" s="122">
        <f t="shared" si="265"/>
        <v>-63858</v>
      </c>
      <c r="AO230" s="13"/>
      <c r="AP230" s="13">
        <f t="shared" si="259"/>
        <v>63858</v>
      </c>
      <c r="AQ230" s="13"/>
      <c r="AR230" s="34">
        <f t="shared" si="268"/>
        <v>63858</v>
      </c>
      <c r="AS230" s="10">
        <f t="shared" si="268"/>
        <v>1</v>
      </c>
      <c r="AT230" s="19"/>
      <c r="AU230" s="10">
        <f t="shared" si="212"/>
        <v>0</v>
      </c>
      <c r="AV230" s="19">
        <f>63858</f>
        <v>63858</v>
      </c>
      <c r="AW230" s="10">
        <f t="shared" si="213"/>
        <v>1</v>
      </c>
      <c r="AX230" s="19">
        <f t="shared" si="267"/>
        <v>7095.333333333333</v>
      </c>
      <c r="AY230" s="19"/>
      <c r="AZ230" s="19"/>
      <c r="BA230" s="19">
        <v>0</v>
      </c>
      <c r="BB230" s="19">
        <v>0</v>
      </c>
      <c r="BC230" s="10">
        <f t="shared" si="266"/>
        <v>0</v>
      </c>
      <c r="BD230" s="19"/>
      <c r="BE230" s="26">
        <f t="shared" si="237"/>
        <v>0</v>
      </c>
      <c r="BF230" s="122">
        <f t="shared" si="237"/>
        <v>0</v>
      </c>
      <c r="BG230" s="13"/>
      <c r="BH230" s="122">
        <f t="shared" si="256"/>
        <v>0</v>
      </c>
      <c r="BI230" s="13"/>
      <c r="BJ230" s="122">
        <f t="shared" si="205"/>
        <v>0</v>
      </c>
      <c r="BK230" s="13">
        <f t="shared" si="260"/>
        <v>0</v>
      </c>
      <c r="BL230" s="122"/>
      <c r="BM230" s="122"/>
      <c r="BN230" s="122" t="s">
        <v>1278</v>
      </c>
      <c r="BO230" s="122" t="s">
        <v>403</v>
      </c>
      <c r="BP230" s="122" t="s">
        <v>1032</v>
      </c>
      <c r="BQ230" s="122" t="s">
        <v>1033</v>
      </c>
      <c r="BR230" s="122" t="s">
        <v>1034</v>
      </c>
      <c r="BS230" s="122" t="s">
        <v>1035</v>
      </c>
      <c r="BT230" s="55" t="s">
        <v>1031</v>
      </c>
    </row>
    <row r="231" spans="1:77" s="3" customFormat="1" ht="48.75" hidden="1" customHeight="1" outlineLevel="1" x14ac:dyDescent="0.25">
      <c r="A231" s="124"/>
      <c r="B231" s="59">
        <v>18</v>
      </c>
      <c r="C231" s="122" t="s">
        <v>829</v>
      </c>
      <c r="D231" s="122" t="s">
        <v>830</v>
      </c>
      <c r="E231" s="122" t="s">
        <v>10</v>
      </c>
      <c r="F231" s="13">
        <v>2415863</v>
      </c>
      <c r="G231" s="13">
        <v>2334416</v>
      </c>
      <c r="H231" s="13"/>
      <c r="I231" s="13"/>
      <c r="J231" s="13"/>
      <c r="K231" s="13"/>
      <c r="L231" s="13"/>
      <c r="M231" s="13">
        <v>0</v>
      </c>
      <c r="N231" s="122">
        <f t="shared" si="257"/>
        <v>0</v>
      </c>
      <c r="O231" s="122">
        <v>1100000</v>
      </c>
      <c r="P231" s="122">
        <v>1</v>
      </c>
      <c r="Q231" s="26">
        <v>634340</v>
      </c>
      <c r="R231" s="122">
        <v>1</v>
      </c>
      <c r="S231" s="122">
        <f t="shared" si="261"/>
        <v>634340</v>
      </c>
      <c r="T231" s="122"/>
      <c r="U231" s="26">
        <f t="shared" si="262"/>
        <v>634340</v>
      </c>
      <c r="V231" s="122">
        <f t="shared" si="262"/>
        <v>1</v>
      </c>
      <c r="W231" s="122"/>
      <c r="X231" s="122">
        <f t="shared" si="263"/>
        <v>0</v>
      </c>
      <c r="Y231" s="122">
        <v>634340</v>
      </c>
      <c r="Z231" s="122">
        <f t="shared" si="264"/>
        <v>1</v>
      </c>
      <c r="AA231" s="122">
        <v>-634340</v>
      </c>
      <c r="AB231" s="122"/>
      <c r="AC231" s="26">
        <f t="shared" si="269"/>
        <v>0</v>
      </c>
      <c r="AD231" s="122">
        <f t="shared" si="269"/>
        <v>0</v>
      </c>
      <c r="AE231" s="122"/>
      <c r="AF231" s="122">
        <f t="shared" si="254"/>
        <v>0</v>
      </c>
      <c r="AG231" s="122"/>
      <c r="AH231" s="122">
        <f t="shared" si="255"/>
        <v>0</v>
      </c>
      <c r="AI231" s="13">
        <f t="shared" si="258"/>
        <v>0</v>
      </c>
      <c r="AJ231" s="13"/>
      <c r="AK231" s="13">
        <v>1</v>
      </c>
      <c r="AL231" s="13">
        <v>1466634</v>
      </c>
      <c r="AM231" s="13">
        <v>1</v>
      </c>
      <c r="AN231" s="122">
        <f t="shared" si="265"/>
        <v>832294</v>
      </c>
      <c r="AO231" s="13"/>
      <c r="AP231" s="13">
        <f t="shared" si="259"/>
        <v>634340</v>
      </c>
      <c r="AQ231" s="13"/>
      <c r="AR231" s="34">
        <f t="shared" si="268"/>
        <v>634340</v>
      </c>
      <c r="AS231" s="10">
        <f t="shared" si="268"/>
        <v>1</v>
      </c>
      <c r="AT231" s="10"/>
      <c r="AU231" s="10">
        <f t="shared" si="212"/>
        <v>0</v>
      </c>
      <c r="AV231" s="10">
        <f>634340</f>
        <v>634340</v>
      </c>
      <c r="AW231" s="10">
        <f t="shared" si="213"/>
        <v>1</v>
      </c>
      <c r="AX231" s="19">
        <f t="shared" si="267"/>
        <v>70482.222222222234</v>
      </c>
      <c r="AY231" s="10">
        <v>1</v>
      </c>
      <c r="AZ231" s="10"/>
      <c r="BA231" s="10">
        <v>0</v>
      </c>
      <c r="BB231" s="10">
        <v>0</v>
      </c>
      <c r="BC231" s="10">
        <f t="shared" si="266"/>
        <v>-1466634</v>
      </c>
      <c r="BD231" s="10"/>
      <c r="BE231" s="26">
        <f t="shared" si="237"/>
        <v>1466634</v>
      </c>
      <c r="BF231" s="122">
        <f t="shared" si="237"/>
        <v>1</v>
      </c>
      <c r="BG231" s="13">
        <f>1466634</f>
        <v>1466634</v>
      </c>
      <c r="BH231" s="122">
        <f t="shared" si="256"/>
        <v>1</v>
      </c>
      <c r="BI231" s="13"/>
      <c r="BJ231" s="122">
        <f t="shared" si="205"/>
        <v>0</v>
      </c>
      <c r="BK231" s="13">
        <f t="shared" si="260"/>
        <v>162959.33333333334</v>
      </c>
      <c r="BL231" s="122"/>
      <c r="BM231" s="122"/>
      <c r="BN231" s="122" t="s">
        <v>1282</v>
      </c>
      <c r="BO231" s="13" t="s">
        <v>1678</v>
      </c>
      <c r="BP231" s="122" t="s">
        <v>1283</v>
      </c>
      <c r="BQ231" s="122" t="s">
        <v>1284</v>
      </c>
      <c r="BR231" s="122" t="s">
        <v>1285</v>
      </c>
      <c r="BS231" s="122" t="s">
        <v>1286</v>
      </c>
      <c r="BT231" s="55" t="s">
        <v>1287</v>
      </c>
    </row>
    <row r="232" spans="1:77" s="35" customFormat="1" ht="11.25" collapsed="1" x14ac:dyDescent="0.25">
      <c r="A232" s="48"/>
      <c r="B232" s="60">
        <v>12</v>
      </c>
      <c r="C232" s="26" t="s">
        <v>540</v>
      </c>
      <c r="D232" s="26"/>
      <c r="E232" s="26"/>
      <c r="F232" s="26">
        <f>F233</f>
        <v>13326398.9</v>
      </c>
      <c r="G232" s="26">
        <f t="shared" ref="G232:BT232" si="270">G233</f>
        <v>13207699.140000001</v>
      </c>
      <c r="H232" s="26"/>
      <c r="I232" s="26"/>
      <c r="J232" s="26"/>
      <c r="K232" s="26"/>
      <c r="L232" s="26"/>
      <c r="M232" s="26">
        <f t="shared" si="270"/>
        <v>3469772</v>
      </c>
      <c r="N232" s="26">
        <f t="shared" si="270"/>
        <v>4911001.4285714291</v>
      </c>
      <c r="O232" s="26">
        <v>5270417</v>
      </c>
      <c r="P232" s="26">
        <v>12</v>
      </c>
      <c r="Q232" s="26">
        <v>3738185</v>
      </c>
      <c r="R232" s="26">
        <v>9</v>
      </c>
      <c r="S232" s="26">
        <f t="shared" si="270"/>
        <v>300484</v>
      </c>
      <c r="T232" s="26">
        <f t="shared" si="270"/>
        <v>0</v>
      </c>
      <c r="U232" s="26">
        <f t="shared" si="270"/>
        <v>3643945</v>
      </c>
      <c r="V232" s="26">
        <f t="shared" si="270"/>
        <v>9</v>
      </c>
      <c r="W232" s="26">
        <f t="shared" si="270"/>
        <v>3313945</v>
      </c>
      <c r="X232" s="26">
        <f t="shared" si="270"/>
        <v>7</v>
      </c>
      <c r="Y232" s="26">
        <f t="shared" si="270"/>
        <v>330000</v>
      </c>
      <c r="Z232" s="26">
        <f t="shared" si="270"/>
        <v>2</v>
      </c>
      <c r="AA232" s="26">
        <f t="shared" si="270"/>
        <v>-330000</v>
      </c>
      <c r="AB232" s="26">
        <f t="shared" si="270"/>
        <v>123756</v>
      </c>
      <c r="AC232" s="26">
        <f t="shared" si="270"/>
        <v>3437701</v>
      </c>
      <c r="AD232" s="26">
        <f t="shared" si="269"/>
        <v>7</v>
      </c>
      <c r="AE232" s="26">
        <f t="shared" si="270"/>
        <v>3437701</v>
      </c>
      <c r="AF232" s="26">
        <f t="shared" si="270"/>
        <v>7</v>
      </c>
      <c r="AG232" s="26">
        <f t="shared" si="270"/>
        <v>0</v>
      </c>
      <c r="AH232" s="26">
        <f t="shared" si="270"/>
        <v>0</v>
      </c>
      <c r="AI232" s="26">
        <f t="shared" si="270"/>
        <v>1473300.4285714289</v>
      </c>
      <c r="AJ232" s="26">
        <f t="shared" si="270"/>
        <v>7</v>
      </c>
      <c r="AK232" s="26">
        <f t="shared" si="270"/>
        <v>2</v>
      </c>
      <c r="AL232" s="26">
        <f t="shared" si="270"/>
        <v>2215877.5</v>
      </c>
      <c r="AM232" s="26">
        <f t="shared" si="270"/>
        <v>5</v>
      </c>
      <c r="AN232" s="26">
        <f t="shared" si="270"/>
        <v>-952361</v>
      </c>
      <c r="AO232" s="26">
        <f t="shared" si="270"/>
        <v>0</v>
      </c>
      <c r="AP232" s="26">
        <f t="shared" si="270"/>
        <v>206244</v>
      </c>
      <c r="AQ232" s="26">
        <f t="shared" si="270"/>
        <v>0</v>
      </c>
      <c r="AR232" s="26">
        <f t="shared" si="270"/>
        <v>3168238.5</v>
      </c>
      <c r="AS232" s="26">
        <f t="shared" si="270"/>
        <v>8</v>
      </c>
      <c r="AT232" s="26">
        <f t="shared" si="270"/>
        <v>1681357</v>
      </c>
      <c r="AU232" s="26">
        <f t="shared" si="270"/>
        <v>5</v>
      </c>
      <c r="AV232" s="26">
        <f t="shared" si="270"/>
        <v>1486881.5</v>
      </c>
      <c r="AW232" s="26">
        <f t="shared" si="270"/>
        <v>3</v>
      </c>
      <c r="AX232" s="26">
        <f t="shared" si="270"/>
        <v>1357816.5</v>
      </c>
      <c r="AY232" s="26">
        <f t="shared" si="270"/>
        <v>3</v>
      </c>
      <c r="AZ232" s="26">
        <f t="shared" si="270"/>
        <v>2</v>
      </c>
      <c r="BA232" s="26">
        <v>738728.5</v>
      </c>
      <c r="BB232" s="26">
        <v>2</v>
      </c>
      <c r="BC232" s="34">
        <f t="shared" si="266"/>
        <v>0</v>
      </c>
      <c r="BD232" s="26"/>
      <c r="BE232" s="26">
        <f t="shared" si="270"/>
        <v>738728.5</v>
      </c>
      <c r="BF232" s="26">
        <f t="shared" si="270"/>
        <v>2</v>
      </c>
      <c r="BG232" s="26">
        <f t="shared" si="270"/>
        <v>738728.5</v>
      </c>
      <c r="BH232" s="26">
        <f t="shared" si="270"/>
        <v>2</v>
      </c>
      <c r="BI232" s="26">
        <f t="shared" si="270"/>
        <v>0</v>
      </c>
      <c r="BJ232" s="26">
        <f t="shared" si="270"/>
        <v>0</v>
      </c>
      <c r="BK232" s="26">
        <f t="shared" si="270"/>
        <v>316598.71428571432</v>
      </c>
      <c r="BL232" s="26">
        <f t="shared" si="270"/>
        <v>2</v>
      </c>
      <c r="BM232" s="26">
        <f t="shared" si="270"/>
        <v>0</v>
      </c>
      <c r="BN232" s="26">
        <f t="shared" si="270"/>
        <v>0</v>
      </c>
      <c r="BO232" s="26">
        <f t="shared" si="270"/>
        <v>0</v>
      </c>
      <c r="BP232" s="26">
        <f t="shared" si="270"/>
        <v>0</v>
      </c>
      <c r="BQ232" s="26">
        <f t="shared" si="270"/>
        <v>0</v>
      </c>
      <c r="BR232" s="26">
        <f t="shared" si="270"/>
        <v>0</v>
      </c>
      <c r="BS232" s="26">
        <f t="shared" si="270"/>
        <v>0</v>
      </c>
      <c r="BT232" s="58">
        <f t="shared" si="270"/>
        <v>0</v>
      </c>
      <c r="BU232" s="25"/>
      <c r="BV232" s="25"/>
      <c r="BW232" s="25"/>
      <c r="BX232" s="25"/>
      <c r="BY232" s="25"/>
    </row>
    <row r="233" spans="1:77" ht="11.25" hidden="1" outlineLevel="1" x14ac:dyDescent="0.25">
      <c r="A233" s="124"/>
      <c r="B233" s="125">
        <v>12</v>
      </c>
      <c r="C233" s="122" t="s">
        <v>198</v>
      </c>
      <c r="D233" s="122"/>
      <c r="E233" s="122"/>
      <c r="F233" s="122">
        <f>SUM(F234:F245)</f>
        <v>13326398.9</v>
      </c>
      <c r="G233" s="122">
        <f t="shared" ref="G233:BT233" si="271">SUM(G234:G245)</f>
        <v>13207699.140000001</v>
      </c>
      <c r="H233" s="122"/>
      <c r="I233" s="122"/>
      <c r="J233" s="122"/>
      <c r="K233" s="122"/>
      <c r="L233" s="122"/>
      <c r="M233" s="122">
        <f t="shared" si="271"/>
        <v>3469772</v>
      </c>
      <c r="N233" s="122">
        <f t="shared" si="271"/>
        <v>4911001.4285714291</v>
      </c>
      <c r="O233" s="122">
        <v>5270417</v>
      </c>
      <c r="P233" s="122">
        <v>12</v>
      </c>
      <c r="Q233" s="26">
        <v>3738185</v>
      </c>
      <c r="R233" s="122">
        <v>9</v>
      </c>
      <c r="S233" s="26">
        <f t="shared" ref="S233:AB233" si="272">SUM(S234:S245)</f>
        <v>300484</v>
      </c>
      <c r="T233" s="26">
        <f t="shared" si="272"/>
        <v>0</v>
      </c>
      <c r="U233" s="26">
        <f t="shared" si="272"/>
        <v>3643945</v>
      </c>
      <c r="V233" s="67">
        <f t="shared" si="272"/>
        <v>9</v>
      </c>
      <c r="W233" s="67">
        <f t="shared" si="272"/>
        <v>3313945</v>
      </c>
      <c r="X233" s="67">
        <f t="shared" si="272"/>
        <v>7</v>
      </c>
      <c r="Y233" s="67">
        <f t="shared" si="272"/>
        <v>330000</v>
      </c>
      <c r="Z233" s="67">
        <f t="shared" si="272"/>
        <v>2</v>
      </c>
      <c r="AA233" s="67">
        <f t="shared" si="272"/>
        <v>-330000</v>
      </c>
      <c r="AB233" s="67">
        <f t="shared" si="272"/>
        <v>123756</v>
      </c>
      <c r="AC233" s="26">
        <f t="shared" si="271"/>
        <v>3437701</v>
      </c>
      <c r="AD233" s="122">
        <f t="shared" si="271"/>
        <v>7</v>
      </c>
      <c r="AE233" s="122">
        <f t="shared" si="271"/>
        <v>3437701</v>
      </c>
      <c r="AF233" s="122">
        <f t="shared" si="271"/>
        <v>7</v>
      </c>
      <c r="AG233" s="122">
        <f t="shared" si="271"/>
        <v>0</v>
      </c>
      <c r="AH233" s="122">
        <f t="shared" si="271"/>
        <v>0</v>
      </c>
      <c r="AI233" s="122">
        <f t="shared" si="271"/>
        <v>1473300.4285714289</v>
      </c>
      <c r="AJ233" s="122">
        <f t="shared" si="271"/>
        <v>7</v>
      </c>
      <c r="AK233" s="122">
        <f t="shared" si="271"/>
        <v>2</v>
      </c>
      <c r="AL233" s="122">
        <f t="shared" si="271"/>
        <v>2215877.5</v>
      </c>
      <c r="AM233" s="122">
        <f t="shared" si="271"/>
        <v>5</v>
      </c>
      <c r="AN233" s="122">
        <f t="shared" si="271"/>
        <v>-952361</v>
      </c>
      <c r="AO233" s="122">
        <f t="shared" si="271"/>
        <v>0</v>
      </c>
      <c r="AP233" s="122">
        <f t="shared" si="271"/>
        <v>206244</v>
      </c>
      <c r="AQ233" s="122">
        <f t="shared" si="271"/>
        <v>0</v>
      </c>
      <c r="AR233" s="26">
        <f t="shared" si="271"/>
        <v>3168238.5</v>
      </c>
      <c r="AS233" s="122">
        <f t="shared" si="271"/>
        <v>8</v>
      </c>
      <c r="AT233" s="122">
        <f>SUM(AT234:AT245)</f>
        <v>1681357</v>
      </c>
      <c r="AU233" s="122">
        <f t="shared" si="271"/>
        <v>5</v>
      </c>
      <c r="AV233" s="122">
        <f t="shared" si="271"/>
        <v>1486881.5</v>
      </c>
      <c r="AW233" s="122">
        <f t="shared" si="271"/>
        <v>3</v>
      </c>
      <c r="AX233" s="122">
        <f t="shared" si="271"/>
        <v>1357816.5</v>
      </c>
      <c r="AY233" s="122">
        <f t="shared" si="271"/>
        <v>3</v>
      </c>
      <c r="AZ233" s="122">
        <f t="shared" si="271"/>
        <v>2</v>
      </c>
      <c r="BA233" s="122">
        <v>738728.5</v>
      </c>
      <c r="BB233" s="122">
        <v>2</v>
      </c>
      <c r="BC233" s="10">
        <f t="shared" si="266"/>
        <v>0</v>
      </c>
      <c r="BD233" s="122"/>
      <c r="BE233" s="26">
        <f t="shared" si="271"/>
        <v>738728.5</v>
      </c>
      <c r="BF233" s="122">
        <f t="shared" si="271"/>
        <v>2</v>
      </c>
      <c r="BG233" s="122">
        <f t="shared" si="271"/>
        <v>738728.5</v>
      </c>
      <c r="BH233" s="122">
        <f t="shared" si="271"/>
        <v>2</v>
      </c>
      <c r="BI233" s="122">
        <f t="shared" si="271"/>
        <v>0</v>
      </c>
      <c r="BJ233" s="122">
        <f t="shared" si="271"/>
        <v>0</v>
      </c>
      <c r="BK233" s="122">
        <f t="shared" si="271"/>
        <v>316598.71428571432</v>
      </c>
      <c r="BL233" s="122">
        <f t="shared" si="271"/>
        <v>2</v>
      </c>
      <c r="BM233" s="122">
        <f t="shared" si="271"/>
        <v>0</v>
      </c>
      <c r="BN233" s="122">
        <f t="shared" si="271"/>
        <v>0</v>
      </c>
      <c r="BO233" s="122">
        <f t="shared" si="271"/>
        <v>0</v>
      </c>
      <c r="BP233" s="122">
        <f t="shared" si="271"/>
        <v>0</v>
      </c>
      <c r="BQ233" s="122">
        <f t="shared" si="271"/>
        <v>0</v>
      </c>
      <c r="BR233" s="122">
        <f t="shared" si="271"/>
        <v>0</v>
      </c>
      <c r="BS233" s="122">
        <f t="shared" si="271"/>
        <v>0</v>
      </c>
      <c r="BT233" s="55">
        <f t="shared" si="271"/>
        <v>0</v>
      </c>
    </row>
    <row r="234" spans="1:77" ht="42.75" hidden="1" customHeight="1" outlineLevel="1" x14ac:dyDescent="0.25">
      <c r="A234" s="124"/>
      <c r="B234" s="59">
        <v>1</v>
      </c>
      <c r="C234" s="122" t="s">
        <v>135</v>
      </c>
      <c r="D234" s="13" t="s">
        <v>313</v>
      </c>
      <c r="E234" s="122" t="s">
        <v>9</v>
      </c>
      <c r="F234" s="122">
        <v>501019</v>
      </c>
      <c r="G234" s="122">
        <v>497019</v>
      </c>
      <c r="H234" s="122">
        <v>496713</v>
      </c>
      <c r="I234" s="122">
        <f t="shared" ref="I234:I240" si="273">G234-H234</f>
        <v>306</v>
      </c>
      <c r="J234" s="122">
        <v>1</v>
      </c>
      <c r="K234" s="122"/>
      <c r="L234" s="122"/>
      <c r="M234" s="122">
        <v>214286</v>
      </c>
      <c r="N234" s="122">
        <f>AC234+AI234</f>
        <v>282732.85714285716</v>
      </c>
      <c r="O234" s="122">
        <v>197913</v>
      </c>
      <c r="P234" s="122">
        <v>1</v>
      </c>
      <c r="Q234" s="26">
        <v>197913</v>
      </c>
      <c r="R234" s="122">
        <v>1</v>
      </c>
      <c r="S234" s="122">
        <f t="shared" si="261"/>
        <v>0</v>
      </c>
      <c r="T234" s="122"/>
      <c r="U234" s="26">
        <f t="shared" ref="U234:V245" si="274">W234+Y234</f>
        <v>197913</v>
      </c>
      <c r="V234" s="122">
        <f t="shared" si="274"/>
        <v>1</v>
      </c>
      <c r="W234" s="122">
        <v>197913</v>
      </c>
      <c r="X234" s="122">
        <f t="shared" ref="X234:X245" si="275">IF(W234,1,0)</f>
        <v>1</v>
      </c>
      <c r="Y234" s="122"/>
      <c r="Z234" s="122">
        <f t="shared" ref="Z234:Z245" si="276">IF(Y234,1,0)</f>
        <v>0</v>
      </c>
      <c r="AA234" s="122">
        <v>0</v>
      </c>
      <c r="AB234" s="122"/>
      <c r="AC234" s="26">
        <f t="shared" si="269"/>
        <v>197913</v>
      </c>
      <c r="AD234" s="122">
        <f t="shared" si="269"/>
        <v>1</v>
      </c>
      <c r="AE234" s="122">
        <v>197913</v>
      </c>
      <c r="AF234" s="122">
        <f t="shared" ref="AF234:AF245" si="277">IF(AE234,1,0)</f>
        <v>1</v>
      </c>
      <c r="AG234" s="122"/>
      <c r="AH234" s="122">
        <f t="shared" ref="AH234:AH245" si="278">IF(AG234,1,0)</f>
        <v>0</v>
      </c>
      <c r="AI234" s="122">
        <f>AC234/0.7*0.3</f>
        <v>84819.857142857145</v>
      </c>
      <c r="AJ234" s="122">
        <v>1</v>
      </c>
      <c r="AK234" s="122"/>
      <c r="AL234" s="122">
        <v>0</v>
      </c>
      <c r="AM234" s="122"/>
      <c r="AN234" s="122">
        <f t="shared" si="265"/>
        <v>0</v>
      </c>
      <c r="AO234" s="122"/>
      <c r="AP234" s="122">
        <f>U234-AC234</f>
        <v>0</v>
      </c>
      <c r="AQ234" s="122"/>
      <c r="AR234" s="34">
        <f t="shared" si="268"/>
        <v>0</v>
      </c>
      <c r="AS234" s="10"/>
      <c r="AT234" s="10">
        <v>0</v>
      </c>
      <c r="AU234" s="10">
        <v>0</v>
      </c>
      <c r="AV234" s="10"/>
      <c r="AW234" s="10"/>
      <c r="AX234" s="10">
        <f>AR234/0.7*0.3</f>
        <v>0</v>
      </c>
      <c r="AY234" s="10"/>
      <c r="AZ234" s="10"/>
      <c r="BA234" s="10">
        <v>0</v>
      </c>
      <c r="BB234" s="10">
        <v>0</v>
      </c>
      <c r="BC234" s="10">
        <f t="shared" si="266"/>
        <v>0</v>
      </c>
      <c r="BD234" s="10"/>
      <c r="BE234" s="26">
        <f t="shared" si="237"/>
        <v>0</v>
      </c>
      <c r="BF234" s="122">
        <f t="shared" si="237"/>
        <v>0</v>
      </c>
      <c r="BG234" s="122"/>
      <c r="BH234" s="122">
        <f t="shared" si="256"/>
        <v>0</v>
      </c>
      <c r="BI234" s="122"/>
      <c r="BJ234" s="122">
        <f t="shared" ref="BJ234:BJ245" si="279">IF(BI234,1,0)</f>
        <v>0</v>
      </c>
      <c r="BK234" s="122"/>
      <c r="BL234" s="122"/>
      <c r="BM234" s="122"/>
      <c r="BN234" s="122" t="s">
        <v>918</v>
      </c>
      <c r="BO234" s="122" t="s">
        <v>1679</v>
      </c>
      <c r="BP234" s="122" t="s">
        <v>1680</v>
      </c>
      <c r="BQ234" s="122" t="s">
        <v>118</v>
      </c>
      <c r="BR234" s="122" t="s">
        <v>1048</v>
      </c>
      <c r="BS234" s="122" t="s">
        <v>136</v>
      </c>
      <c r="BT234" s="55" t="s">
        <v>137</v>
      </c>
    </row>
    <row r="235" spans="1:77" ht="33" hidden="1" customHeight="1" outlineLevel="1" x14ac:dyDescent="0.25">
      <c r="A235" s="124"/>
      <c r="B235" s="59">
        <v>2</v>
      </c>
      <c r="C235" s="122" t="s">
        <v>120</v>
      </c>
      <c r="D235" s="122" t="s">
        <v>121</v>
      </c>
      <c r="E235" s="122" t="s">
        <v>9</v>
      </c>
      <c r="F235" s="122">
        <v>1184589</v>
      </c>
      <c r="G235" s="122">
        <v>1180589</v>
      </c>
      <c r="H235" s="122">
        <v>1179982</v>
      </c>
      <c r="I235" s="122">
        <f t="shared" si="273"/>
        <v>607</v>
      </c>
      <c r="J235" s="122">
        <v>1</v>
      </c>
      <c r="K235" s="122">
        <v>1</v>
      </c>
      <c r="L235" s="122">
        <v>1</v>
      </c>
      <c r="M235" s="122">
        <v>447437</v>
      </c>
      <c r="N235" s="122">
        <f t="shared" ref="N235:N245" si="280">AC235+AI235</f>
        <v>733151.42857142864</v>
      </c>
      <c r="O235" s="122">
        <v>513206</v>
      </c>
      <c r="P235" s="122">
        <v>1</v>
      </c>
      <c r="Q235" s="26">
        <v>513206</v>
      </c>
      <c r="R235" s="122">
        <v>1</v>
      </c>
      <c r="S235" s="122">
        <f t="shared" si="261"/>
        <v>0</v>
      </c>
      <c r="T235" s="122"/>
      <c r="U235" s="26">
        <f t="shared" si="274"/>
        <v>513206</v>
      </c>
      <c r="V235" s="122">
        <f t="shared" si="274"/>
        <v>1</v>
      </c>
      <c r="W235" s="122">
        <v>513206</v>
      </c>
      <c r="X235" s="122">
        <f t="shared" si="275"/>
        <v>1</v>
      </c>
      <c r="Y235" s="122"/>
      <c r="Z235" s="122">
        <f t="shared" si="276"/>
        <v>0</v>
      </c>
      <c r="AA235" s="122">
        <v>0</v>
      </c>
      <c r="AB235" s="122"/>
      <c r="AC235" s="26">
        <f t="shared" si="269"/>
        <v>513206</v>
      </c>
      <c r="AD235" s="122">
        <f t="shared" si="269"/>
        <v>1</v>
      </c>
      <c r="AE235" s="122">
        <f>513206</f>
        <v>513206</v>
      </c>
      <c r="AF235" s="122">
        <f t="shared" si="277"/>
        <v>1</v>
      </c>
      <c r="AG235" s="122"/>
      <c r="AH235" s="122">
        <f t="shared" si="278"/>
        <v>0</v>
      </c>
      <c r="AI235" s="122">
        <f t="shared" ref="AI235:AI244" si="281">AC235/0.7*0.3</f>
        <v>219945.42857142858</v>
      </c>
      <c r="AJ235" s="122">
        <v>1</v>
      </c>
      <c r="AK235" s="122"/>
      <c r="AL235" s="122">
        <v>0</v>
      </c>
      <c r="AM235" s="122">
        <v>0</v>
      </c>
      <c r="AN235" s="122">
        <f t="shared" si="265"/>
        <v>-118106</v>
      </c>
      <c r="AO235" s="122"/>
      <c r="AP235" s="122">
        <f t="shared" ref="AP235:AP245" si="282">U235-AC235</f>
        <v>0</v>
      </c>
      <c r="AQ235" s="122"/>
      <c r="AR235" s="34">
        <f t="shared" si="268"/>
        <v>118106</v>
      </c>
      <c r="AS235" s="10">
        <f t="shared" si="268"/>
        <v>1</v>
      </c>
      <c r="AT235" s="10">
        <f>118106</f>
        <v>118106</v>
      </c>
      <c r="AU235" s="10">
        <f t="shared" si="212"/>
        <v>1</v>
      </c>
      <c r="AV235" s="10"/>
      <c r="AW235" s="10">
        <f t="shared" si="213"/>
        <v>0</v>
      </c>
      <c r="AX235" s="10">
        <f t="shared" ref="AX235:AX243" si="283">AR235/0.7*0.3</f>
        <v>50616.857142857145</v>
      </c>
      <c r="AY235" s="10"/>
      <c r="AZ235" s="10"/>
      <c r="BA235" s="10">
        <v>0</v>
      </c>
      <c r="BB235" s="10">
        <v>0</v>
      </c>
      <c r="BC235" s="10">
        <f t="shared" si="266"/>
        <v>0</v>
      </c>
      <c r="BD235" s="10"/>
      <c r="BE235" s="26">
        <f t="shared" si="237"/>
        <v>0</v>
      </c>
      <c r="BF235" s="122">
        <f t="shared" si="237"/>
        <v>0</v>
      </c>
      <c r="BG235" s="122"/>
      <c r="BH235" s="122">
        <f t="shared" si="256"/>
        <v>0</v>
      </c>
      <c r="BI235" s="122"/>
      <c r="BJ235" s="122">
        <f t="shared" si="279"/>
        <v>0</v>
      </c>
      <c r="BK235" s="122"/>
      <c r="BL235" s="122"/>
      <c r="BM235" s="122"/>
      <c r="BN235" s="122" t="s">
        <v>122</v>
      </c>
      <c r="BO235" s="122" t="s">
        <v>1681</v>
      </c>
      <c r="BP235" s="122" t="s">
        <v>123</v>
      </c>
      <c r="BQ235" s="122" t="s">
        <v>118</v>
      </c>
      <c r="BR235" s="122" t="s">
        <v>1048</v>
      </c>
      <c r="BS235" s="122" t="s">
        <v>124</v>
      </c>
      <c r="BT235" s="55" t="s">
        <v>1049</v>
      </c>
    </row>
    <row r="236" spans="1:77" ht="39" hidden="1" customHeight="1" outlineLevel="1" x14ac:dyDescent="0.25">
      <c r="A236" s="124"/>
      <c r="B236" s="59">
        <v>3</v>
      </c>
      <c r="C236" s="122" t="s">
        <v>129</v>
      </c>
      <c r="D236" s="122" t="s">
        <v>1150</v>
      </c>
      <c r="E236" s="122" t="s">
        <v>9</v>
      </c>
      <c r="F236" s="122">
        <v>1451427</v>
      </c>
      <c r="G236" s="122">
        <v>1438114.14</v>
      </c>
      <c r="H236" s="122">
        <v>1374154</v>
      </c>
      <c r="I236" s="122">
        <f t="shared" si="273"/>
        <v>63960.139999999898</v>
      </c>
      <c r="J236" s="122">
        <v>1</v>
      </c>
      <c r="K236" s="122">
        <v>1</v>
      </c>
      <c r="L236" s="122">
        <v>1</v>
      </c>
      <c r="M236" s="122">
        <v>463516</v>
      </c>
      <c r="N236" s="122">
        <f t="shared" si="280"/>
        <v>910648.57142857136</v>
      </c>
      <c r="O236" s="122">
        <v>573917</v>
      </c>
      <c r="P236" s="122">
        <v>1</v>
      </c>
      <c r="Q236" s="26">
        <v>573917</v>
      </c>
      <c r="R236" s="122">
        <v>1</v>
      </c>
      <c r="S236" s="122">
        <f t="shared" si="261"/>
        <v>-63537</v>
      </c>
      <c r="T236" s="122"/>
      <c r="U236" s="26">
        <f t="shared" si="274"/>
        <v>529152</v>
      </c>
      <c r="V236" s="122">
        <f t="shared" si="274"/>
        <v>1</v>
      </c>
      <c r="W236" s="122">
        <v>529152</v>
      </c>
      <c r="X236" s="122">
        <f t="shared" si="275"/>
        <v>1</v>
      </c>
      <c r="Y236" s="122"/>
      <c r="Z236" s="122">
        <f t="shared" si="276"/>
        <v>0</v>
      </c>
      <c r="AA236" s="122"/>
      <c r="AB236" s="122">
        <v>108302</v>
      </c>
      <c r="AC236" s="26">
        <f t="shared" si="269"/>
        <v>637454</v>
      </c>
      <c r="AD236" s="122">
        <f t="shared" si="269"/>
        <v>1</v>
      </c>
      <c r="AE236" s="122">
        <f>529152+108302</f>
        <v>637454</v>
      </c>
      <c r="AF236" s="122">
        <f t="shared" si="277"/>
        <v>1</v>
      </c>
      <c r="AG236" s="122"/>
      <c r="AH236" s="122">
        <f t="shared" si="278"/>
        <v>0</v>
      </c>
      <c r="AI236" s="122">
        <f t="shared" si="281"/>
        <v>273194.57142857142</v>
      </c>
      <c r="AJ236" s="122">
        <v>1</v>
      </c>
      <c r="AK236" s="122"/>
      <c r="AL236" s="122">
        <v>0</v>
      </c>
      <c r="AM236" s="122">
        <v>0</v>
      </c>
      <c r="AN236" s="122">
        <f t="shared" si="265"/>
        <v>-322361</v>
      </c>
      <c r="AO236" s="122"/>
      <c r="AP236" s="122">
        <f t="shared" si="282"/>
        <v>-108302</v>
      </c>
      <c r="AQ236" s="122"/>
      <c r="AR236" s="34">
        <f t="shared" si="268"/>
        <v>322361</v>
      </c>
      <c r="AS236" s="10">
        <f t="shared" si="268"/>
        <v>1</v>
      </c>
      <c r="AT236" s="10">
        <f>108302+14059+200000</f>
        <v>322361</v>
      </c>
      <c r="AU236" s="10">
        <f t="shared" si="212"/>
        <v>1</v>
      </c>
      <c r="AV236" s="10"/>
      <c r="AW236" s="10">
        <f t="shared" si="213"/>
        <v>0</v>
      </c>
      <c r="AX236" s="10">
        <f t="shared" si="283"/>
        <v>138154.71428571429</v>
      </c>
      <c r="AY236" s="10"/>
      <c r="AZ236" s="10"/>
      <c r="BA236" s="10">
        <v>0</v>
      </c>
      <c r="BB236" s="10">
        <v>0</v>
      </c>
      <c r="BC236" s="10">
        <f t="shared" si="266"/>
        <v>0</v>
      </c>
      <c r="BD236" s="10"/>
      <c r="BE236" s="26">
        <f t="shared" si="237"/>
        <v>0</v>
      </c>
      <c r="BF236" s="122">
        <f t="shared" si="237"/>
        <v>0</v>
      </c>
      <c r="BG236" s="122"/>
      <c r="BH236" s="122">
        <f t="shared" si="256"/>
        <v>0</v>
      </c>
      <c r="BI236" s="122"/>
      <c r="BJ236" s="122">
        <f t="shared" si="279"/>
        <v>0</v>
      </c>
      <c r="BK236" s="122"/>
      <c r="BL236" s="122"/>
      <c r="BM236" s="122"/>
      <c r="BN236" s="122" t="s">
        <v>919</v>
      </c>
      <c r="BO236" s="122" t="s">
        <v>1054</v>
      </c>
      <c r="BP236" s="122" t="s">
        <v>1051</v>
      </c>
      <c r="BQ236" s="122" t="s">
        <v>1052</v>
      </c>
      <c r="BR236" s="122" t="s">
        <v>1151</v>
      </c>
      <c r="BS236" s="122" t="s">
        <v>1053</v>
      </c>
      <c r="BT236" s="55" t="s">
        <v>1055</v>
      </c>
    </row>
    <row r="237" spans="1:77" ht="36" hidden="1" customHeight="1" outlineLevel="1" x14ac:dyDescent="0.25">
      <c r="A237" s="124"/>
      <c r="B237" s="59">
        <v>4</v>
      </c>
      <c r="C237" s="122" t="s">
        <v>143</v>
      </c>
      <c r="D237" s="122" t="s">
        <v>1152</v>
      </c>
      <c r="E237" s="122" t="s">
        <v>9</v>
      </c>
      <c r="F237" s="122">
        <v>1050558</v>
      </c>
      <c r="G237" s="122">
        <v>1023220</v>
      </c>
      <c r="H237" s="122">
        <v>1021226</v>
      </c>
      <c r="I237" s="122">
        <f t="shared" si="273"/>
        <v>1994</v>
      </c>
      <c r="J237" s="122">
        <v>1</v>
      </c>
      <c r="K237" s="122">
        <v>1</v>
      </c>
      <c r="L237" s="122">
        <v>1</v>
      </c>
      <c r="M237" s="122">
        <v>413316</v>
      </c>
      <c r="N237" s="122">
        <f t="shared" si="280"/>
        <v>609904.28571428568</v>
      </c>
      <c r="O237" s="122">
        <v>411859</v>
      </c>
      <c r="P237" s="122">
        <v>1</v>
      </c>
      <c r="Q237" s="26">
        <v>411859</v>
      </c>
      <c r="R237" s="122">
        <v>1</v>
      </c>
      <c r="S237" s="122">
        <f t="shared" si="261"/>
        <v>-15074</v>
      </c>
      <c r="T237" s="122"/>
      <c r="U237" s="26">
        <f t="shared" si="274"/>
        <v>411859</v>
      </c>
      <c r="V237" s="122">
        <f t="shared" si="274"/>
        <v>1</v>
      </c>
      <c r="W237" s="122">
        <v>411859</v>
      </c>
      <c r="X237" s="122">
        <f t="shared" si="275"/>
        <v>1</v>
      </c>
      <c r="Y237" s="122"/>
      <c r="Z237" s="122">
        <f t="shared" si="276"/>
        <v>0</v>
      </c>
      <c r="AA237" s="122"/>
      <c r="AB237" s="122">
        <v>15074</v>
      </c>
      <c r="AC237" s="26">
        <f t="shared" si="269"/>
        <v>426933</v>
      </c>
      <c r="AD237" s="122">
        <f t="shared" si="269"/>
        <v>1</v>
      </c>
      <c r="AE237" s="122">
        <f>411859+15074</f>
        <v>426933</v>
      </c>
      <c r="AF237" s="122">
        <f t="shared" si="277"/>
        <v>1</v>
      </c>
      <c r="AG237" s="122"/>
      <c r="AH237" s="122">
        <f t="shared" si="278"/>
        <v>0</v>
      </c>
      <c r="AI237" s="122">
        <f t="shared" si="281"/>
        <v>182971.28571428574</v>
      </c>
      <c r="AJ237" s="122">
        <v>1</v>
      </c>
      <c r="AK237" s="122"/>
      <c r="AL237" s="122">
        <v>0</v>
      </c>
      <c r="AM237" s="122">
        <v>0</v>
      </c>
      <c r="AN237" s="122">
        <f t="shared" si="265"/>
        <v>0</v>
      </c>
      <c r="AO237" s="122"/>
      <c r="AP237" s="122">
        <f t="shared" si="282"/>
        <v>-15074</v>
      </c>
      <c r="AQ237" s="122"/>
      <c r="AR237" s="34">
        <f t="shared" si="268"/>
        <v>0</v>
      </c>
      <c r="AS237" s="10">
        <f t="shared" si="268"/>
        <v>0</v>
      </c>
      <c r="AT237" s="10"/>
      <c r="AU237" s="10">
        <f t="shared" si="212"/>
        <v>0</v>
      </c>
      <c r="AV237" s="10"/>
      <c r="AW237" s="10">
        <f t="shared" si="213"/>
        <v>0</v>
      </c>
      <c r="AX237" s="10">
        <f t="shared" si="283"/>
        <v>0</v>
      </c>
      <c r="AY237" s="10"/>
      <c r="AZ237" s="10"/>
      <c r="BA237" s="10">
        <v>0</v>
      </c>
      <c r="BB237" s="10">
        <v>0</v>
      </c>
      <c r="BC237" s="10">
        <f t="shared" si="266"/>
        <v>0</v>
      </c>
      <c r="BD237" s="10"/>
      <c r="BE237" s="26">
        <f t="shared" si="237"/>
        <v>0</v>
      </c>
      <c r="BF237" s="122">
        <f t="shared" si="237"/>
        <v>0</v>
      </c>
      <c r="BG237" s="122"/>
      <c r="BH237" s="122">
        <f t="shared" si="256"/>
        <v>0</v>
      </c>
      <c r="BI237" s="122"/>
      <c r="BJ237" s="122">
        <f t="shared" si="279"/>
        <v>0</v>
      </c>
      <c r="BK237" s="122"/>
      <c r="BL237" s="122"/>
      <c r="BM237" s="122"/>
      <c r="BN237" s="122" t="s">
        <v>144</v>
      </c>
      <c r="BO237" s="122" t="s">
        <v>1682</v>
      </c>
      <c r="BP237" s="122" t="s">
        <v>1062</v>
      </c>
      <c r="BQ237" s="122" t="s">
        <v>147</v>
      </c>
      <c r="BR237" s="122" t="s">
        <v>1063</v>
      </c>
      <c r="BS237" s="122" t="s">
        <v>145</v>
      </c>
      <c r="BT237" s="55" t="s">
        <v>146</v>
      </c>
    </row>
    <row r="238" spans="1:77" ht="59.25" hidden="1" customHeight="1" outlineLevel="1" x14ac:dyDescent="0.25">
      <c r="A238" s="124"/>
      <c r="B238" s="59">
        <v>5</v>
      </c>
      <c r="C238" s="122" t="s">
        <v>110</v>
      </c>
      <c r="D238" s="122" t="s">
        <v>111</v>
      </c>
      <c r="E238" s="122" t="s">
        <v>9</v>
      </c>
      <c r="F238" s="122">
        <v>1188967.8999999999</v>
      </c>
      <c r="G238" s="122">
        <v>1177620</v>
      </c>
      <c r="H238" s="26"/>
      <c r="I238" s="122">
        <f t="shared" si="273"/>
        <v>1177620</v>
      </c>
      <c r="J238" s="122">
        <v>1</v>
      </c>
      <c r="K238" s="122">
        <v>1</v>
      </c>
      <c r="L238" s="122">
        <v>1</v>
      </c>
      <c r="M238" s="122">
        <v>517511</v>
      </c>
      <c r="N238" s="122">
        <f t="shared" si="280"/>
        <v>660108.57142857148</v>
      </c>
      <c r="O238" s="122">
        <v>461696</v>
      </c>
      <c r="P238" s="122">
        <v>1</v>
      </c>
      <c r="Q238" s="26">
        <v>461696</v>
      </c>
      <c r="R238" s="122">
        <v>1</v>
      </c>
      <c r="S238" s="122">
        <f t="shared" si="261"/>
        <v>-380</v>
      </c>
      <c r="T238" s="122"/>
      <c r="U238" s="26">
        <f t="shared" si="274"/>
        <v>461696</v>
      </c>
      <c r="V238" s="122">
        <f t="shared" si="274"/>
        <v>1</v>
      </c>
      <c r="W238" s="122">
        <v>461696</v>
      </c>
      <c r="X238" s="122">
        <f t="shared" si="275"/>
        <v>1</v>
      </c>
      <c r="Y238" s="122"/>
      <c r="Z238" s="122">
        <f t="shared" si="276"/>
        <v>0</v>
      </c>
      <c r="AA238" s="122"/>
      <c r="AB238" s="122">
        <v>380</v>
      </c>
      <c r="AC238" s="26">
        <f t="shared" si="269"/>
        <v>462076</v>
      </c>
      <c r="AD238" s="122">
        <f t="shared" si="269"/>
        <v>1</v>
      </c>
      <c r="AE238" s="122">
        <f>461696+380</f>
        <v>462076</v>
      </c>
      <c r="AF238" s="122">
        <f t="shared" si="277"/>
        <v>1</v>
      </c>
      <c r="AG238" s="122"/>
      <c r="AH238" s="122">
        <f t="shared" si="278"/>
        <v>0</v>
      </c>
      <c r="AI238" s="122">
        <f t="shared" si="281"/>
        <v>198032.57142857145</v>
      </c>
      <c r="AJ238" s="122">
        <v>1</v>
      </c>
      <c r="AK238" s="122"/>
      <c r="AL238" s="122">
        <v>0</v>
      </c>
      <c r="AM238" s="122">
        <v>0</v>
      </c>
      <c r="AN238" s="122">
        <f t="shared" si="265"/>
        <v>0</v>
      </c>
      <c r="AO238" s="122"/>
      <c r="AP238" s="122">
        <f t="shared" si="282"/>
        <v>-380</v>
      </c>
      <c r="AQ238" s="122"/>
      <c r="AR238" s="34">
        <f t="shared" si="268"/>
        <v>0</v>
      </c>
      <c r="AS238" s="10">
        <f t="shared" si="268"/>
        <v>0</v>
      </c>
      <c r="AT238" s="10"/>
      <c r="AU238" s="10">
        <f t="shared" si="212"/>
        <v>0</v>
      </c>
      <c r="AV238" s="10"/>
      <c r="AW238" s="10">
        <f t="shared" si="213"/>
        <v>0</v>
      </c>
      <c r="AX238" s="10">
        <f t="shared" si="283"/>
        <v>0</v>
      </c>
      <c r="AY238" s="10"/>
      <c r="AZ238" s="10"/>
      <c r="BA238" s="10">
        <v>0</v>
      </c>
      <c r="BB238" s="10">
        <v>0</v>
      </c>
      <c r="BC238" s="10">
        <f t="shared" si="266"/>
        <v>0</v>
      </c>
      <c r="BD238" s="10"/>
      <c r="BE238" s="26">
        <f t="shared" si="237"/>
        <v>0</v>
      </c>
      <c r="BF238" s="122">
        <f t="shared" si="237"/>
        <v>0</v>
      </c>
      <c r="BG238" s="122"/>
      <c r="BH238" s="122">
        <f t="shared" si="256"/>
        <v>0</v>
      </c>
      <c r="BI238" s="122"/>
      <c r="BJ238" s="122">
        <f t="shared" si="279"/>
        <v>0</v>
      </c>
      <c r="BK238" s="122"/>
      <c r="BL238" s="122"/>
      <c r="BM238" s="122"/>
      <c r="BN238" s="122" t="s">
        <v>112</v>
      </c>
      <c r="BO238" s="122" t="s">
        <v>1683</v>
      </c>
      <c r="BP238" s="122" t="s">
        <v>1046</v>
      </c>
      <c r="BQ238" s="122" t="s">
        <v>114</v>
      </c>
      <c r="BR238" s="122" t="s">
        <v>1148</v>
      </c>
      <c r="BS238" s="122" t="s">
        <v>113</v>
      </c>
      <c r="BT238" s="55" t="s">
        <v>1292</v>
      </c>
    </row>
    <row r="239" spans="1:77" ht="30.75" hidden="1" customHeight="1" outlineLevel="1" x14ac:dyDescent="0.25">
      <c r="A239" s="124"/>
      <c r="B239" s="59">
        <v>6</v>
      </c>
      <c r="C239" s="122" t="s">
        <v>148</v>
      </c>
      <c r="D239" s="122" t="s">
        <v>149</v>
      </c>
      <c r="E239" s="122" t="s">
        <v>168</v>
      </c>
      <c r="F239" s="122">
        <v>2221175</v>
      </c>
      <c r="G239" s="122">
        <v>2206175</v>
      </c>
      <c r="H239" s="122">
        <v>2204507.02</v>
      </c>
      <c r="I239" s="122">
        <f t="shared" si="273"/>
        <v>1667.9799999999814</v>
      </c>
      <c r="J239" s="122">
        <v>1</v>
      </c>
      <c r="K239" s="122"/>
      <c r="L239" s="122"/>
      <c r="M239" s="122">
        <v>817373</v>
      </c>
      <c r="N239" s="122">
        <f t="shared" si="280"/>
        <v>817374.28571428568</v>
      </c>
      <c r="O239" s="122">
        <v>572162</v>
      </c>
      <c r="P239" s="122">
        <v>1</v>
      </c>
      <c r="Q239" s="26">
        <v>572162</v>
      </c>
      <c r="R239" s="122">
        <v>1</v>
      </c>
      <c r="S239" s="122">
        <f t="shared" si="261"/>
        <v>0</v>
      </c>
      <c r="T239" s="122"/>
      <c r="U239" s="26">
        <f t="shared" si="274"/>
        <v>572162</v>
      </c>
      <c r="V239" s="122">
        <f t="shared" si="274"/>
        <v>1</v>
      </c>
      <c r="W239" s="122">
        <v>572162</v>
      </c>
      <c r="X239" s="122">
        <f t="shared" si="275"/>
        <v>1</v>
      </c>
      <c r="Y239" s="122"/>
      <c r="Z239" s="122">
        <f t="shared" si="276"/>
        <v>0</v>
      </c>
      <c r="AA239" s="122">
        <v>0</v>
      </c>
      <c r="AB239" s="122"/>
      <c r="AC239" s="26">
        <f t="shared" si="269"/>
        <v>572162</v>
      </c>
      <c r="AD239" s="122">
        <f t="shared" si="269"/>
        <v>1</v>
      </c>
      <c r="AE239" s="122">
        <f>572162</f>
        <v>572162</v>
      </c>
      <c r="AF239" s="122">
        <f t="shared" si="277"/>
        <v>1</v>
      </c>
      <c r="AG239" s="122"/>
      <c r="AH239" s="122">
        <f t="shared" si="278"/>
        <v>0</v>
      </c>
      <c r="AI239" s="122">
        <f t="shared" si="281"/>
        <v>245212.28571428574</v>
      </c>
      <c r="AJ239" s="122"/>
      <c r="AK239" s="122">
        <v>1</v>
      </c>
      <c r="AL239" s="122">
        <v>399999</v>
      </c>
      <c r="AM239" s="122">
        <v>1</v>
      </c>
      <c r="AN239" s="122">
        <f t="shared" si="265"/>
        <v>-200000</v>
      </c>
      <c r="AO239" s="122"/>
      <c r="AP239" s="122">
        <f t="shared" si="282"/>
        <v>0</v>
      </c>
      <c r="AQ239" s="122"/>
      <c r="AR239" s="34">
        <f t="shared" si="268"/>
        <v>599999</v>
      </c>
      <c r="AS239" s="10">
        <f t="shared" si="268"/>
        <v>1</v>
      </c>
      <c r="AT239" s="10">
        <f>399999+200000</f>
        <v>599999</v>
      </c>
      <c r="AU239" s="10">
        <f t="shared" si="212"/>
        <v>1</v>
      </c>
      <c r="AV239" s="10"/>
      <c r="AW239" s="10">
        <f t="shared" si="213"/>
        <v>0</v>
      </c>
      <c r="AX239" s="10">
        <f t="shared" si="283"/>
        <v>257142.42857142858</v>
      </c>
      <c r="AY239" s="10">
        <v>1</v>
      </c>
      <c r="AZ239" s="10"/>
      <c r="BA239" s="10">
        <v>0</v>
      </c>
      <c r="BB239" s="10">
        <v>0</v>
      </c>
      <c r="BC239" s="10">
        <f t="shared" si="266"/>
        <v>0</v>
      </c>
      <c r="BD239" s="10"/>
      <c r="BE239" s="26">
        <f t="shared" si="237"/>
        <v>0</v>
      </c>
      <c r="BF239" s="122">
        <f t="shared" si="237"/>
        <v>0</v>
      </c>
      <c r="BG239" s="122"/>
      <c r="BH239" s="122">
        <f t="shared" si="256"/>
        <v>0</v>
      </c>
      <c r="BI239" s="122"/>
      <c r="BJ239" s="122">
        <f t="shared" si="279"/>
        <v>0</v>
      </c>
      <c r="BK239" s="122"/>
      <c r="BL239" s="122"/>
      <c r="BM239" s="122"/>
      <c r="BN239" s="122" t="s">
        <v>151</v>
      </c>
      <c r="BO239" s="122" t="s">
        <v>1681</v>
      </c>
      <c r="BP239" s="122" t="s">
        <v>1064</v>
      </c>
      <c r="BQ239" s="122" t="s">
        <v>1289</v>
      </c>
      <c r="BR239" s="122" t="s">
        <v>150</v>
      </c>
      <c r="BS239" s="122" t="s">
        <v>1153</v>
      </c>
      <c r="BT239" s="55" t="s">
        <v>1290</v>
      </c>
    </row>
    <row r="240" spans="1:77" ht="33" hidden="1" customHeight="1" outlineLevel="1" x14ac:dyDescent="0.25">
      <c r="A240" s="124"/>
      <c r="B240" s="59">
        <v>7</v>
      </c>
      <c r="C240" s="122" t="s">
        <v>125</v>
      </c>
      <c r="D240" s="122" t="s">
        <v>1149</v>
      </c>
      <c r="E240" s="122" t="s">
        <v>9</v>
      </c>
      <c r="F240" s="122">
        <v>1568093</v>
      </c>
      <c r="G240" s="122">
        <v>1564093</v>
      </c>
      <c r="H240" s="122">
        <v>1493414.77</v>
      </c>
      <c r="I240" s="122">
        <f t="shared" si="273"/>
        <v>70678.229999999981</v>
      </c>
      <c r="J240" s="122">
        <v>1</v>
      </c>
      <c r="K240" s="122">
        <v>1</v>
      </c>
      <c r="L240" s="122">
        <v>1</v>
      </c>
      <c r="M240" s="122">
        <v>596333</v>
      </c>
      <c r="N240" s="122">
        <f t="shared" si="280"/>
        <v>897081.42857142864</v>
      </c>
      <c r="O240" s="122">
        <v>677432</v>
      </c>
      <c r="P240" s="122">
        <v>1</v>
      </c>
      <c r="Q240" s="26">
        <v>677432</v>
      </c>
      <c r="R240" s="122">
        <v>1</v>
      </c>
      <c r="S240" s="122">
        <f t="shared" si="261"/>
        <v>49475</v>
      </c>
      <c r="T240" s="122"/>
      <c r="U240" s="26">
        <f t="shared" si="274"/>
        <v>627957</v>
      </c>
      <c r="V240" s="122">
        <f t="shared" si="274"/>
        <v>1</v>
      </c>
      <c r="W240" s="122">
        <v>627957</v>
      </c>
      <c r="X240" s="122">
        <f t="shared" si="275"/>
        <v>1</v>
      </c>
      <c r="Y240" s="122"/>
      <c r="Z240" s="122">
        <f t="shared" si="276"/>
        <v>0</v>
      </c>
      <c r="AA240" s="122">
        <v>0</v>
      </c>
      <c r="AB240" s="122"/>
      <c r="AC240" s="26">
        <f t="shared" si="269"/>
        <v>627957</v>
      </c>
      <c r="AD240" s="122">
        <f t="shared" si="269"/>
        <v>1</v>
      </c>
      <c r="AE240" s="122">
        <f>627957</f>
        <v>627957</v>
      </c>
      <c r="AF240" s="122">
        <f t="shared" si="277"/>
        <v>1</v>
      </c>
      <c r="AG240" s="122"/>
      <c r="AH240" s="122">
        <f t="shared" si="278"/>
        <v>0</v>
      </c>
      <c r="AI240" s="122">
        <f t="shared" si="281"/>
        <v>269124.42857142858</v>
      </c>
      <c r="AJ240" s="122">
        <v>1</v>
      </c>
      <c r="AK240" s="122"/>
      <c r="AL240" s="122">
        <v>0</v>
      </c>
      <c r="AM240" s="122">
        <v>0</v>
      </c>
      <c r="AN240" s="122">
        <f t="shared" si="265"/>
        <v>-311894</v>
      </c>
      <c r="AO240" s="122"/>
      <c r="AP240" s="122">
        <f t="shared" si="282"/>
        <v>0</v>
      </c>
      <c r="AQ240" s="122"/>
      <c r="AR240" s="34">
        <f t="shared" si="268"/>
        <v>311894</v>
      </c>
      <c r="AS240" s="10">
        <f t="shared" si="268"/>
        <v>1</v>
      </c>
      <c r="AT240" s="10">
        <f>211894+100000</f>
        <v>311894</v>
      </c>
      <c r="AU240" s="10">
        <f t="shared" si="212"/>
        <v>1</v>
      </c>
      <c r="AV240" s="10"/>
      <c r="AW240" s="10">
        <f t="shared" si="213"/>
        <v>0</v>
      </c>
      <c r="AX240" s="10">
        <f t="shared" si="283"/>
        <v>133668.85714285713</v>
      </c>
      <c r="AY240" s="10"/>
      <c r="AZ240" s="10"/>
      <c r="BA240" s="10">
        <v>0</v>
      </c>
      <c r="BB240" s="10">
        <v>0</v>
      </c>
      <c r="BC240" s="10">
        <f t="shared" si="266"/>
        <v>0</v>
      </c>
      <c r="BD240" s="10"/>
      <c r="BE240" s="26">
        <f t="shared" si="237"/>
        <v>0</v>
      </c>
      <c r="BF240" s="122">
        <f t="shared" si="237"/>
        <v>0</v>
      </c>
      <c r="BG240" s="122"/>
      <c r="BH240" s="122">
        <f t="shared" si="256"/>
        <v>0</v>
      </c>
      <c r="BI240" s="122"/>
      <c r="BJ240" s="122">
        <f t="shared" si="279"/>
        <v>0</v>
      </c>
      <c r="BK240" s="122"/>
      <c r="BL240" s="122"/>
      <c r="BM240" s="122"/>
      <c r="BN240" s="122" t="s">
        <v>126</v>
      </c>
      <c r="BO240" s="122" t="s">
        <v>1684</v>
      </c>
      <c r="BP240" s="122" t="s">
        <v>128</v>
      </c>
      <c r="BQ240" s="122" t="s">
        <v>1293</v>
      </c>
      <c r="BR240" s="122" t="s">
        <v>1048</v>
      </c>
      <c r="BS240" s="122" t="s">
        <v>127</v>
      </c>
      <c r="BT240" s="55" t="s">
        <v>1050</v>
      </c>
    </row>
    <row r="241" spans="1:77" ht="56.25" hidden="1" outlineLevel="1" x14ac:dyDescent="0.25">
      <c r="A241" s="124"/>
      <c r="B241" s="59">
        <v>8</v>
      </c>
      <c r="C241" s="122" t="s">
        <v>115</v>
      </c>
      <c r="D241" s="122" t="s">
        <v>116</v>
      </c>
      <c r="E241" s="122">
        <v>2015</v>
      </c>
      <c r="F241" s="122">
        <v>306706</v>
      </c>
      <c r="G241" s="122">
        <v>302706</v>
      </c>
      <c r="H241" s="122"/>
      <c r="I241" s="122"/>
      <c r="J241" s="122"/>
      <c r="K241" s="122"/>
      <c r="L241" s="122"/>
      <c r="M241" s="122">
        <v>0</v>
      </c>
      <c r="N241" s="122">
        <f t="shared" si="280"/>
        <v>0</v>
      </c>
      <c r="O241" s="122">
        <v>211894</v>
      </c>
      <c r="P241" s="122">
        <v>1</v>
      </c>
      <c r="Q241" s="26">
        <v>211894</v>
      </c>
      <c r="R241" s="122">
        <v>1</v>
      </c>
      <c r="S241" s="122">
        <f t="shared" si="261"/>
        <v>211894</v>
      </c>
      <c r="T241" s="122"/>
      <c r="U241" s="26">
        <f t="shared" si="274"/>
        <v>211894</v>
      </c>
      <c r="V241" s="122">
        <f t="shared" si="274"/>
        <v>1</v>
      </c>
      <c r="W241" s="122"/>
      <c r="X241" s="122">
        <f t="shared" si="275"/>
        <v>0</v>
      </c>
      <c r="Y241" s="122">
        <v>211894</v>
      </c>
      <c r="Z241" s="122">
        <f t="shared" si="276"/>
        <v>1</v>
      </c>
      <c r="AA241" s="122">
        <v>-211894</v>
      </c>
      <c r="AB241" s="122"/>
      <c r="AC241" s="26">
        <f t="shared" si="269"/>
        <v>0</v>
      </c>
      <c r="AD241" s="122">
        <f t="shared" si="269"/>
        <v>0</v>
      </c>
      <c r="AE241" s="122"/>
      <c r="AF241" s="122">
        <f t="shared" si="277"/>
        <v>0</v>
      </c>
      <c r="AG241" s="122"/>
      <c r="AH241" s="122">
        <f t="shared" si="278"/>
        <v>0</v>
      </c>
      <c r="AI241" s="122">
        <f t="shared" si="281"/>
        <v>0</v>
      </c>
      <c r="AJ241" s="122">
        <v>1</v>
      </c>
      <c r="AK241" s="122"/>
      <c r="AL241" s="122">
        <v>0</v>
      </c>
      <c r="AM241" s="122">
        <v>0</v>
      </c>
      <c r="AN241" s="122">
        <f t="shared" si="265"/>
        <v>0</v>
      </c>
      <c r="AO241" s="122"/>
      <c r="AP241" s="122">
        <f t="shared" si="282"/>
        <v>211894</v>
      </c>
      <c r="AQ241" s="122"/>
      <c r="AR241" s="34">
        <f t="shared" si="268"/>
        <v>0</v>
      </c>
      <c r="AS241" s="10">
        <f t="shared" si="268"/>
        <v>0</v>
      </c>
      <c r="AT241" s="10"/>
      <c r="AU241" s="10">
        <f t="shared" si="212"/>
        <v>0</v>
      </c>
      <c r="AV241" s="10"/>
      <c r="AW241" s="10">
        <f t="shared" si="213"/>
        <v>0</v>
      </c>
      <c r="AX241" s="10">
        <f t="shared" si="283"/>
        <v>0</v>
      </c>
      <c r="AY241" s="10"/>
      <c r="AZ241" s="10"/>
      <c r="BA241" s="10">
        <v>0</v>
      </c>
      <c r="BB241" s="10">
        <v>0</v>
      </c>
      <c r="BC241" s="10">
        <f t="shared" si="266"/>
        <v>0</v>
      </c>
      <c r="BD241" s="10"/>
      <c r="BE241" s="26">
        <f t="shared" si="237"/>
        <v>0</v>
      </c>
      <c r="BF241" s="122">
        <f t="shared" si="237"/>
        <v>0</v>
      </c>
      <c r="BG241" s="122"/>
      <c r="BH241" s="122">
        <f t="shared" si="256"/>
        <v>0</v>
      </c>
      <c r="BI241" s="122"/>
      <c r="BJ241" s="122">
        <f t="shared" si="279"/>
        <v>0</v>
      </c>
      <c r="BK241" s="122"/>
      <c r="BL241" s="122"/>
      <c r="BM241" s="122"/>
      <c r="BN241" s="122" t="s">
        <v>119</v>
      </c>
      <c r="BO241" s="122" t="s">
        <v>1685</v>
      </c>
      <c r="BP241" s="122" t="s">
        <v>1047</v>
      </c>
      <c r="BQ241" s="122" t="s">
        <v>1291</v>
      </c>
      <c r="BR241" s="122" t="s">
        <v>1048</v>
      </c>
      <c r="BS241" s="122" t="s">
        <v>117</v>
      </c>
      <c r="BT241" s="55" t="s">
        <v>142</v>
      </c>
    </row>
    <row r="242" spans="1:77" ht="32.25" hidden="1" customHeight="1" outlineLevel="1" x14ac:dyDescent="0.25">
      <c r="A242" s="124"/>
      <c r="B242" s="59">
        <v>9</v>
      </c>
      <c r="C242" s="122" t="s">
        <v>1719</v>
      </c>
      <c r="D242" s="122" t="s">
        <v>153</v>
      </c>
      <c r="E242" s="122" t="s">
        <v>1118</v>
      </c>
      <c r="F242" s="122">
        <v>1631931</v>
      </c>
      <c r="G242" s="122">
        <v>1618151</v>
      </c>
      <c r="H242" s="122"/>
      <c r="I242" s="122"/>
      <c r="J242" s="122"/>
      <c r="K242" s="122"/>
      <c r="L242" s="122"/>
      <c r="M242" s="122">
        <v>0</v>
      </c>
      <c r="N242" s="122">
        <f t="shared" si="280"/>
        <v>0</v>
      </c>
      <c r="O242" s="122">
        <v>566353</v>
      </c>
      <c r="P242" s="122">
        <v>1</v>
      </c>
      <c r="Q242" s="26">
        <v>0</v>
      </c>
      <c r="R242" s="122">
        <v>0</v>
      </c>
      <c r="S242" s="122">
        <f t="shared" si="261"/>
        <v>0</v>
      </c>
      <c r="T242" s="122"/>
      <c r="U242" s="26">
        <f t="shared" si="274"/>
        <v>0</v>
      </c>
      <c r="V242" s="122">
        <f t="shared" si="274"/>
        <v>0</v>
      </c>
      <c r="W242" s="122"/>
      <c r="X242" s="122">
        <f t="shared" si="275"/>
        <v>0</v>
      </c>
      <c r="Y242" s="122">
        <v>0</v>
      </c>
      <c r="Z242" s="122">
        <f t="shared" si="276"/>
        <v>0</v>
      </c>
      <c r="AA242" s="122">
        <v>0</v>
      </c>
      <c r="AB242" s="122"/>
      <c r="AC242" s="26">
        <f t="shared" si="269"/>
        <v>0</v>
      </c>
      <c r="AD242" s="122">
        <f t="shared" si="269"/>
        <v>0</v>
      </c>
      <c r="AE242" s="122"/>
      <c r="AF242" s="122">
        <f t="shared" si="277"/>
        <v>0</v>
      </c>
      <c r="AG242" s="122">
        <v>0</v>
      </c>
      <c r="AH242" s="122">
        <f t="shared" si="278"/>
        <v>0</v>
      </c>
      <c r="AI242" s="122">
        <f t="shared" si="281"/>
        <v>0</v>
      </c>
      <c r="AJ242" s="122"/>
      <c r="AK242" s="122"/>
      <c r="AL242" s="122">
        <v>900000</v>
      </c>
      <c r="AM242" s="122">
        <v>1</v>
      </c>
      <c r="AN242" s="122">
        <f t="shared" si="265"/>
        <v>0</v>
      </c>
      <c r="AO242" s="122"/>
      <c r="AP242" s="122">
        <f t="shared" si="282"/>
        <v>0</v>
      </c>
      <c r="AQ242" s="122"/>
      <c r="AR242" s="34">
        <f t="shared" si="268"/>
        <v>900000</v>
      </c>
      <c r="AS242" s="10">
        <f t="shared" si="268"/>
        <v>1</v>
      </c>
      <c r="AT242" s="10"/>
      <c r="AU242" s="10">
        <f t="shared" si="212"/>
        <v>0</v>
      </c>
      <c r="AV242" s="10">
        <v>900000</v>
      </c>
      <c r="AW242" s="10">
        <f t="shared" si="213"/>
        <v>1</v>
      </c>
      <c r="AX242" s="10">
        <f t="shared" si="283"/>
        <v>385714.28571428568</v>
      </c>
      <c r="AY242" s="10"/>
      <c r="AZ242" s="10">
        <v>1</v>
      </c>
      <c r="BA242" s="10">
        <v>232705</v>
      </c>
      <c r="BB242" s="10">
        <v>1</v>
      </c>
      <c r="BC242" s="10">
        <f t="shared" si="266"/>
        <v>0</v>
      </c>
      <c r="BD242" s="10"/>
      <c r="BE242" s="26">
        <f t="shared" si="237"/>
        <v>232705</v>
      </c>
      <c r="BF242" s="122">
        <f t="shared" si="237"/>
        <v>1</v>
      </c>
      <c r="BG242" s="122">
        <v>232705</v>
      </c>
      <c r="BH242" s="122">
        <f t="shared" si="256"/>
        <v>1</v>
      </c>
      <c r="BI242" s="122"/>
      <c r="BJ242" s="122">
        <f t="shared" si="279"/>
        <v>0</v>
      </c>
      <c r="BK242" s="122">
        <f>BE242/0.7*0.3</f>
        <v>99730.71428571429</v>
      </c>
      <c r="BL242" s="122">
        <v>1</v>
      </c>
      <c r="BM242" s="122"/>
      <c r="BN242" s="122" t="s">
        <v>152</v>
      </c>
      <c r="BO242" s="122" t="s">
        <v>1686</v>
      </c>
      <c r="BP242" s="122" t="s">
        <v>1288</v>
      </c>
      <c r="BQ242" s="122" t="s">
        <v>156</v>
      </c>
      <c r="BR242" s="122" t="s">
        <v>155</v>
      </c>
      <c r="BS242" s="122" t="s">
        <v>1066</v>
      </c>
      <c r="BT242" s="55" t="s">
        <v>154</v>
      </c>
    </row>
    <row r="243" spans="1:77" ht="49.5" hidden="1" customHeight="1" outlineLevel="1" x14ac:dyDescent="0.25">
      <c r="A243" s="124"/>
      <c r="B243" s="59">
        <v>10</v>
      </c>
      <c r="C243" s="122" t="s">
        <v>138</v>
      </c>
      <c r="D243" s="122" t="s">
        <v>139</v>
      </c>
      <c r="E243" s="122">
        <v>2016</v>
      </c>
      <c r="F243" s="122">
        <v>263369</v>
      </c>
      <c r="G243" s="122">
        <v>258369</v>
      </c>
      <c r="H243" s="122"/>
      <c r="I243" s="122"/>
      <c r="J243" s="122"/>
      <c r="K243" s="122"/>
      <c r="L243" s="122"/>
      <c r="M243" s="122">
        <v>0</v>
      </c>
      <c r="N243" s="122">
        <f t="shared" si="280"/>
        <v>0</v>
      </c>
      <c r="O243" s="122">
        <v>180858</v>
      </c>
      <c r="P243" s="122">
        <v>1</v>
      </c>
      <c r="Q243" s="26">
        <v>0</v>
      </c>
      <c r="R243" s="122">
        <v>0</v>
      </c>
      <c r="S243" s="122">
        <f t="shared" si="261"/>
        <v>0</v>
      </c>
      <c r="T243" s="122"/>
      <c r="U243" s="26">
        <f t="shared" si="274"/>
        <v>0</v>
      </c>
      <c r="V243" s="122">
        <f t="shared" si="274"/>
        <v>0</v>
      </c>
      <c r="W243" s="122"/>
      <c r="X243" s="122">
        <f t="shared" si="275"/>
        <v>0</v>
      </c>
      <c r="Y243" s="122"/>
      <c r="Z243" s="122">
        <f t="shared" si="276"/>
        <v>0</v>
      </c>
      <c r="AA243" s="122">
        <v>0</v>
      </c>
      <c r="AB243" s="122"/>
      <c r="AC243" s="26">
        <f t="shared" si="269"/>
        <v>0</v>
      </c>
      <c r="AD243" s="122">
        <f t="shared" si="269"/>
        <v>0</v>
      </c>
      <c r="AE243" s="122"/>
      <c r="AF243" s="122">
        <f t="shared" si="277"/>
        <v>0</v>
      </c>
      <c r="AG243" s="122"/>
      <c r="AH243" s="122">
        <f t="shared" si="278"/>
        <v>0</v>
      </c>
      <c r="AI243" s="122">
        <f t="shared" si="281"/>
        <v>0</v>
      </c>
      <c r="AJ243" s="122"/>
      <c r="AK243" s="122"/>
      <c r="AL243" s="122">
        <v>180858</v>
      </c>
      <c r="AM243" s="122">
        <v>1</v>
      </c>
      <c r="AN243" s="122">
        <f t="shared" si="265"/>
        <v>0</v>
      </c>
      <c r="AO243" s="122"/>
      <c r="AP243" s="122">
        <f t="shared" si="282"/>
        <v>0</v>
      </c>
      <c r="AQ243" s="122"/>
      <c r="AR243" s="34">
        <f t="shared" si="268"/>
        <v>180858</v>
      </c>
      <c r="AS243" s="10">
        <f t="shared" si="268"/>
        <v>1</v>
      </c>
      <c r="AT243" s="10">
        <v>0</v>
      </c>
      <c r="AU243" s="10">
        <f t="shared" si="212"/>
        <v>0</v>
      </c>
      <c r="AV243" s="10">
        <v>180858</v>
      </c>
      <c r="AW243" s="10">
        <f t="shared" si="213"/>
        <v>1</v>
      </c>
      <c r="AX243" s="10">
        <f t="shared" si="283"/>
        <v>77510.571428571435</v>
      </c>
      <c r="AY243" s="10">
        <v>1</v>
      </c>
      <c r="AZ243" s="10"/>
      <c r="BA243" s="10">
        <v>0</v>
      </c>
      <c r="BB243" s="10">
        <v>0</v>
      </c>
      <c r="BC243" s="10">
        <f t="shared" si="266"/>
        <v>0</v>
      </c>
      <c r="BD243" s="10"/>
      <c r="BE243" s="26">
        <f t="shared" si="237"/>
        <v>0</v>
      </c>
      <c r="BF243" s="122">
        <f t="shared" si="237"/>
        <v>0</v>
      </c>
      <c r="BG243" s="122"/>
      <c r="BH243" s="122">
        <f t="shared" si="256"/>
        <v>0</v>
      </c>
      <c r="BI243" s="122"/>
      <c r="BJ243" s="122">
        <f t="shared" si="279"/>
        <v>0</v>
      </c>
      <c r="BK243" s="122"/>
      <c r="BL243" s="122"/>
      <c r="BM243" s="122"/>
      <c r="BN243" s="122" t="s">
        <v>1058</v>
      </c>
      <c r="BO243" s="122" t="s">
        <v>1687</v>
      </c>
      <c r="BP243" s="122" t="s">
        <v>1059</v>
      </c>
      <c r="BQ243" s="122" t="s">
        <v>141</v>
      </c>
      <c r="BR243" s="122" t="s">
        <v>1060</v>
      </c>
      <c r="BS243" s="122" t="s">
        <v>1061</v>
      </c>
      <c r="BT243" s="55" t="s">
        <v>140</v>
      </c>
    </row>
    <row r="244" spans="1:77" ht="56.25" hidden="1" outlineLevel="1" x14ac:dyDescent="0.25">
      <c r="A244" s="124"/>
      <c r="B244" s="59">
        <v>11</v>
      </c>
      <c r="C244" s="122" t="s">
        <v>157</v>
      </c>
      <c r="D244" s="122" t="s">
        <v>159</v>
      </c>
      <c r="E244" s="122" t="s">
        <v>1118</v>
      </c>
      <c r="F244" s="122">
        <v>1315846</v>
      </c>
      <c r="G244" s="122">
        <v>1302925</v>
      </c>
      <c r="H244" s="122"/>
      <c r="I244" s="122"/>
      <c r="J244" s="122"/>
      <c r="K244" s="122"/>
      <c r="L244" s="122"/>
      <c r="M244" s="122">
        <v>0</v>
      </c>
      <c r="N244" s="122">
        <f t="shared" si="280"/>
        <v>0</v>
      </c>
      <c r="O244" s="122">
        <v>456024</v>
      </c>
      <c r="P244" s="122">
        <v>1</v>
      </c>
      <c r="Q244" s="26">
        <v>0</v>
      </c>
      <c r="R244" s="122">
        <v>0</v>
      </c>
      <c r="S244" s="122">
        <f t="shared" si="261"/>
        <v>0</v>
      </c>
      <c r="T244" s="122"/>
      <c r="U244" s="26">
        <f t="shared" si="274"/>
        <v>0</v>
      </c>
      <c r="V244" s="122">
        <f t="shared" si="274"/>
        <v>0</v>
      </c>
      <c r="W244" s="122"/>
      <c r="X244" s="122">
        <f t="shared" si="275"/>
        <v>0</v>
      </c>
      <c r="Y244" s="122"/>
      <c r="Z244" s="122">
        <f t="shared" si="276"/>
        <v>0</v>
      </c>
      <c r="AA244" s="122">
        <v>0</v>
      </c>
      <c r="AB244" s="122"/>
      <c r="AC244" s="26">
        <f t="shared" si="269"/>
        <v>0</v>
      </c>
      <c r="AD244" s="122">
        <f t="shared" si="269"/>
        <v>0</v>
      </c>
      <c r="AE244" s="122"/>
      <c r="AF244" s="122">
        <f t="shared" si="277"/>
        <v>0</v>
      </c>
      <c r="AG244" s="122"/>
      <c r="AH244" s="122">
        <f t="shared" si="278"/>
        <v>0</v>
      </c>
      <c r="AI244" s="122">
        <f t="shared" si="281"/>
        <v>0</v>
      </c>
      <c r="AJ244" s="122"/>
      <c r="AK244" s="122"/>
      <c r="AL244" s="122">
        <v>406023.5</v>
      </c>
      <c r="AM244" s="122">
        <v>1</v>
      </c>
      <c r="AN244" s="122">
        <f t="shared" si="265"/>
        <v>0</v>
      </c>
      <c r="AO244" s="122"/>
      <c r="AP244" s="122">
        <f t="shared" si="282"/>
        <v>0</v>
      </c>
      <c r="AQ244" s="122"/>
      <c r="AR244" s="34">
        <f>AV244</f>
        <v>406023.5</v>
      </c>
      <c r="AS244" s="10">
        <f t="shared" si="268"/>
        <v>1</v>
      </c>
      <c r="AT244" s="10"/>
      <c r="AU244" s="10">
        <f t="shared" si="212"/>
        <v>0</v>
      </c>
      <c r="AV244" s="10">
        <v>406023.5</v>
      </c>
      <c r="AW244" s="10">
        <f t="shared" si="213"/>
        <v>1</v>
      </c>
      <c r="AX244" s="10">
        <f>AR244/0.7*0.3</f>
        <v>174010.07142857145</v>
      </c>
      <c r="AY244" s="10"/>
      <c r="AZ244" s="10">
        <v>1</v>
      </c>
      <c r="BA244" s="10">
        <v>506023.5</v>
      </c>
      <c r="BB244" s="10">
        <v>1</v>
      </c>
      <c r="BC244" s="10">
        <f t="shared" si="266"/>
        <v>0</v>
      </c>
      <c r="BD244" s="10"/>
      <c r="BE244" s="26">
        <f t="shared" si="237"/>
        <v>506023.5</v>
      </c>
      <c r="BF244" s="122">
        <f t="shared" si="237"/>
        <v>1</v>
      </c>
      <c r="BG244" s="122">
        <v>506023.5</v>
      </c>
      <c r="BH244" s="122">
        <f t="shared" si="256"/>
        <v>1</v>
      </c>
      <c r="BI244" s="122"/>
      <c r="BJ244" s="122">
        <f t="shared" si="279"/>
        <v>0</v>
      </c>
      <c r="BK244" s="122">
        <v>216868</v>
      </c>
      <c r="BL244" s="122">
        <v>1</v>
      </c>
      <c r="BM244" s="122"/>
      <c r="BN244" s="122" t="s">
        <v>158</v>
      </c>
      <c r="BO244" s="122" t="s">
        <v>1688</v>
      </c>
      <c r="BP244" s="122" t="s">
        <v>160</v>
      </c>
      <c r="BQ244" s="122" t="s">
        <v>1065</v>
      </c>
      <c r="BR244" s="122" t="s">
        <v>1147</v>
      </c>
      <c r="BS244" s="122" t="s">
        <v>1066</v>
      </c>
      <c r="BT244" s="55" t="s">
        <v>1067</v>
      </c>
    </row>
    <row r="245" spans="1:77" ht="56.25" hidden="1" outlineLevel="1" x14ac:dyDescent="0.25">
      <c r="A245" s="124"/>
      <c r="B245" s="59">
        <v>12</v>
      </c>
      <c r="C245" s="122" t="s">
        <v>131</v>
      </c>
      <c r="D245" s="122" t="s">
        <v>132</v>
      </c>
      <c r="E245" s="122" t="s">
        <v>10</v>
      </c>
      <c r="F245" s="122">
        <v>642718</v>
      </c>
      <c r="G245" s="122">
        <v>638718</v>
      </c>
      <c r="H245" s="122"/>
      <c r="I245" s="122"/>
      <c r="J245" s="122"/>
      <c r="K245" s="122"/>
      <c r="L245" s="122"/>
      <c r="M245" s="122">
        <v>0</v>
      </c>
      <c r="N245" s="122">
        <f t="shared" si="280"/>
        <v>0</v>
      </c>
      <c r="O245" s="122">
        <v>447103</v>
      </c>
      <c r="P245" s="122">
        <v>1</v>
      </c>
      <c r="Q245" s="26">
        <v>118106</v>
      </c>
      <c r="R245" s="122">
        <v>1</v>
      </c>
      <c r="S245" s="122">
        <f t="shared" si="261"/>
        <v>118106</v>
      </c>
      <c r="T245" s="122"/>
      <c r="U245" s="26">
        <f t="shared" si="274"/>
        <v>118106</v>
      </c>
      <c r="V245" s="122">
        <f t="shared" si="274"/>
        <v>1</v>
      </c>
      <c r="W245" s="122"/>
      <c r="X245" s="122">
        <f t="shared" si="275"/>
        <v>0</v>
      </c>
      <c r="Y245" s="122">
        <v>118106</v>
      </c>
      <c r="Z245" s="122">
        <f t="shared" si="276"/>
        <v>1</v>
      </c>
      <c r="AA245" s="122">
        <v>-118106</v>
      </c>
      <c r="AB245" s="122"/>
      <c r="AC245" s="26">
        <f t="shared" si="269"/>
        <v>0</v>
      </c>
      <c r="AD245" s="122">
        <f t="shared" si="269"/>
        <v>0</v>
      </c>
      <c r="AE245" s="122"/>
      <c r="AF245" s="122">
        <f t="shared" si="277"/>
        <v>0</v>
      </c>
      <c r="AG245" s="122"/>
      <c r="AH245" s="122">
        <f t="shared" si="278"/>
        <v>0</v>
      </c>
      <c r="AI245" s="122">
        <f>AC245/0.7*0.3</f>
        <v>0</v>
      </c>
      <c r="AJ245" s="122"/>
      <c r="AK245" s="122">
        <v>1</v>
      </c>
      <c r="AL245" s="122">
        <v>328997</v>
      </c>
      <c r="AM245" s="122">
        <v>1</v>
      </c>
      <c r="AN245" s="122">
        <f t="shared" si="265"/>
        <v>0</v>
      </c>
      <c r="AO245" s="122"/>
      <c r="AP245" s="122">
        <f t="shared" si="282"/>
        <v>118106</v>
      </c>
      <c r="AQ245" s="122"/>
      <c r="AR245" s="34">
        <f t="shared" si="268"/>
        <v>328997</v>
      </c>
      <c r="AS245" s="10">
        <f t="shared" si="268"/>
        <v>1</v>
      </c>
      <c r="AT245" s="10">
        <f>328997</f>
        <v>328997</v>
      </c>
      <c r="AU245" s="10">
        <f t="shared" si="212"/>
        <v>1</v>
      </c>
      <c r="AV245" s="10"/>
      <c r="AW245" s="10">
        <f t="shared" si="213"/>
        <v>0</v>
      </c>
      <c r="AX245" s="10">
        <f>AR245/0.7*0.3</f>
        <v>140998.71428571429</v>
      </c>
      <c r="AY245" s="10">
        <v>1</v>
      </c>
      <c r="AZ245" s="10"/>
      <c r="BA245" s="10">
        <v>0</v>
      </c>
      <c r="BB245" s="10">
        <v>0</v>
      </c>
      <c r="BC245" s="10">
        <f t="shared" si="266"/>
        <v>0</v>
      </c>
      <c r="BD245" s="10"/>
      <c r="BE245" s="26">
        <f t="shared" si="237"/>
        <v>0</v>
      </c>
      <c r="BF245" s="122">
        <f t="shared" si="237"/>
        <v>0</v>
      </c>
      <c r="BG245" s="122"/>
      <c r="BH245" s="122">
        <f t="shared" si="256"/>
        <v>0</v>
      </c>
      <c r="BI245" s="122"/>
      <c r="BJ245" s="122">
        <f t="shared" si="279"/>
        <v>0</v>
      </c>
      <c r="BK245" s="122"/>
      <c r="BL245" s="122"/>
      <c r="BM245" s="122"/>
      <c r="BN245" s="122" t="s">
        <v>1056</v>
      </c>
      <c r="BO245" s="122" t="s">
        <v>1689</v>
      </c>
      <c r="BP245" s="122" t="s">
        <v>133</v>
      </c>
      <c r="BQ245" s="122" t="s">
        <v>1289</v>
      </c>
      <c r="BR245" s="122" t="s">
        <v>1048</v>
      </c>
      <c r="BS245" s="122" t="s">
        <v>134</v>
      </c>
      <c r="BT245" s="55" t="s">
        <v>1057</v>
      </c>
    </row>
    <row r="246" spans="1:77" s="35" customFormat="1" ht="11.25" collapsed="1" x14ac:dyDescent="0.25">
      <c r="A246" s="48"/>
      <c r="B246" s="60">
        <f>B247+B266</f>
        <v>10</v>
      </c>
      <c r="C246" s="26" t="s">
        <v>541</v>
      </c>
      <c r="D246" s="26"/>
      <c r="E246" s="26"/>
      <c r="F246" s="26">
        <f>F247+F266</f>
        <v>17805570.600000001</v>
      </c>
      <c r="G246" s="26">
        <f>G247+G266</f>
        <v>16656323</v>
      </c>
      <c r="H246" s="26"/>
      <c r="I246" s="26"/>
      <c r="J246" s="26"/>
      <c r="K246" s="26"/>
      <c r="L246" s="26"/>
      <c r="M246" s="26">
        <f>M247+M266</f>
        <v>1680010</v>
      </c>
      <c r="N246" s="26">
        <f>N247+N266</f>
        <v>562767.5</v>
      </c>
      <c r="O246" s="26">
        <v>3352932</v>
      </c>
      <c r="P246" s="26">
        <v>6</v>
      </c>
      <c r="Q246" s="26">
        <v>2000757</v>
      </c>
      <c r="R246" s="26">
        <v>7</v>
      </c>
      <c r="S246" s="26">
        <f t="shared" ref="S246:AZ246" si="284">S247+S266</f>
        <v>1550543</v>
      </c>
      <c r="T246" s="26">
        <f t="shared" si="284"/>
        <v>0</v>
      </c>
      <c r="U246" s="26">
        <f t="shared" si="284"/>
        <v>3239833</v>
      </c>
      <c r="V246" s="26">
        <f t="shared" si="284"/>
        <v>19</v>
      </c>
      <c r="W246" s="26">
        <f t="shared" si="284"/>
        <v>430258</v>
      </c>
      <c r="X246" s="26">
        <f t="shared" si="284"/>
        <v>2</v>
      </c>
      <c r="Y246" s="26">
        <f t="shared" si="284"/>
        <v>2809575</v>
      </c>
      <c r="Z246" s="26">
        <f t="shared" si="284"/>
        <v>17</v>
      </c>
      <c r="AA246" s="26">
        <f t="shared" si="284"/>
        <v>-2809575</v>
      </c>
      <c r="AB246" s="26">
        <f t="shared" si="284"/>
        <v>19956</v>
      </c>
      <c r="AC246" s="26">
        <f t="shared" si="284"/>
        <v>450214</v>
      </c>
      <c r="AD246" s="26">
        <f t="shared" si="284"/>
        <v>2</v>
      </c>
      <c r="AE246" s="26">
        <f t="shared" si="284"/>
        <v>450214</v>
      </c>
      <c r="AF246" s="26">
        <f t="shared" si="284"/>
        <v>2</v>
      </c>
      <c r="AG246" s="26">
        <f t="shared" si="284"/>
        <v>0</v>
      </c>
      <c r="AH246" s="26">
        <f t="shared" si="284"/>
        <v>0</v>
      </c>
      <c r="AI246" s="26">
        <f t="shared" si="284"/>
        <v>112553.5</v>
      </c>
      <c r="AJ246" s="26">
        <f t="shared" si="284"/>
        <v>2</v>
      </c>
      <c r="AK246" s="26">
        <f t="shared" si="284"/>
        <v>17</v>
      </c>
      <c r="AL246" s="26">
        <f t="shared" si="284"/>
        <v>3878644</v>
      </c>
      <c r="AM246" s="26">
        <f t="shared" si="284"/>
        <v>8</v>
      </c>
      <c r="AN246" s="26">
        <f t="shared" si="284"/>
        <v>-4445982</v>
      </c>
      <c r="AO246" s="26">
        <f t="shared" si="284"/>
        <v>0</v>
      </c>
      <c r="AP246" s="26">
        <f t="shared" si="284"/>
        <v>2789619</v>
      </c>
      <c r="AQ246" s="26">
        <f t="shared" si="284"/>
        <v>0</v>
      </c>
      <c r="AR246" s="26">
        <f t="shared" si="284"/>
        <v>8324626</v>
      </c>
      <c r="AS246" s="26">
        <f t="shared" si="284"/>
        <v>17</v>
      </c>
      <c r="AT246" s="26">
        <f t="shared" si="284"/>
        <v>801116</v>
      </c>
      <c r="AU246" s="26">
        <f t="shared" si="284"/>
        <v>4</v>
      </c>
      <c r="AV246" s="26">
        <f t="shared" si="284"/>
        <v>7523510</v>
      </c>
      <c r="AW246" s="26">
        <f t="shared" si="284"/>
        <v>13</v>
      </c>
      <c r="AX246" s="26">
        <f t="shared" si="284"/>
        <v>2009138</v>
      </c>
      <c r="AY246" s="26">
        <f t="shared" si="284"/>
        <v>19</v>
      </c>
      <c r="AZ246" s="26">
        <f t="shared" si="284"/>
        <v>1</v>
      </c>
      <c r="BA246" s="26">
        <v>3399579</v>
      </c>
      <c r="BB246" s="26">
        <v>5</v>
      </c>
      <c r="BC246" s="34">
        <f t="shared" si="266"/>
        <v>835120</v>
      </c>
      <c r="BD246" s="26"/>
      <c r="BE246" s="26">
        <f t="shared" ref="BE246:BT246" si="285">BE247+BE266</f>
        <v>2564459</v>
      </c>
      <c r="BF246" s="26">
        <f t="shared" si="285"/>
        <v>1</v>
      </c>
      <c r="BG246" s="26">
        <f t="shared" si="285"/>
        <v>2564459</v>
      </c>
      <c r="BH246" s="26">
        <f t="shared" si="285"/>
        <v>1</v>
      </c>
      <c r="BI246" s="26">
        <f t="shared" si="285"/>
        <v>0</v>
      </c>
      <c r="BJ246" s="26">
        <f t="shared" si="285"/>
        <v>0</v>
      </c>
      <c r="BK246" s="26">
        <f t="shared" si="285"/>
        <v>641114.75</v>
      </c>
      <c r="BL246" s="26">
        <f t="shared" si="285"/>
        <v>1</v>
      </c>
      <c r="BM246" s="26">
        <f t="shared" si="285"/>
        <v>0</v>
      </c>
      <c r="BN246" s="26">
        <f t="shared" si="285"/>
        <v>0</v>
      </c>
      <c r="BO246" s="26">
        <f t="shared" si="285"/>
        <v>0</v>
      </c>
      <c r="BP246" s="26">
        <f t="shared" si="285"/>
        <v>0</v>
      </c>
      <c r="BQ246" s="26">
        <f t="shared" si="285"/>
        <v>0</v>
      </c>
      <c r="BR246" s="26">
        <f t="shared" si="285"/>
        <v>0</v>
      </c>
      <c r="BS246" s="26">
        <f t="shared" si="285"/>
        <v>0</v>
      </c>
      <c r="BT246" s="58">
        <f t="shared" si="285"/>
        <v>0</v>
      </c>
      <c r="BU246" s="25"/>
      <c r="BV246" s="25"/>
      <c r="BW246" s="25"/>
      <c r="BX246" s="25"/>
      <c r="BY246" s="25"/>
    </row>
    <row r="247" spans="1:77" ht="11.25" hidden="1" outlineLevel="1" x14ac:dyDescent="0.25">
      <c r="A247" s="124"/>
      <c r="B247" s="125">
        <v>6</v>
      </c>
      <c r="C247" s="122" t="s">
        <v>198</v>
      </c>
      <c r="D247" s="122"/>
      <c r="E247" s="122"/>
      <c r="F247" s="122">
        <f>SUM(F248:F265)</f>
        <v>14518266</v>
      </c>
      <c r="G247" s="122">
        <f t="shared" ref="G247:BM247" si="286">SUM(G248:G265)</f>
        <v>13463918</v>
      </c>
      <c r="H247" s="122">
        <f t="shared" si="286"/>
        <v>2242778</v>
      </c>
      <c r="I247" s="122">
        <f t="shared" si="286"/>
        <v>98305</v>
      </c>
      <c r="J247" s="122">
        <f t="shared" si="286"/>
        <v>2</v>
      </c>
      <c r="K247" s="122">
        <f t="shared" si="286"/>
        <v>0</v>
      </c>
      <c r="L247" s="122">
        <f t="shared" si="286"/>
        <v>0</v>
      </c>
      <c r="M247" s="122">
        <f t="shared" si="286"/>
        <v>1680010</v>
      </c>
      <c r="N247" s="122">
        <f t="shared" si="286"/>
        <v>562767.5</v>
      </c>
      <c r="O247" s="122">
        <f t="shared" si="286"/>
        <v>1615242</v>
      </c>
      <c r="P247" s="122">
        <f t="shared" si="286"/>
        <v>4</v>
      </c>
      <c r="Q247" s="122">
        <f t="shared" si="286"/>
        <v>1550757</v>
      </c>
      <c r="R247" s="122">
        <f t="shared" si="286"/>
        <v>5</v>
      </c>
      <c r="S247" s="122">
        <f t="shared" si="286"/>
        <v>1100543</v>
      </c>
      <c r="T247" s="122">
        <f t="shared" si="286"/>
        <v>0</v>
      </c>
      <c r="U247" s="26">
        <f t="shared" si="286"/>
        <v>2789833</v>
      </c>
      <c r="V247" s="122">
        <f t="shared" si="286"/>
        <v>17</v>
      </c>
      <c r="W247" s="122">
        <f t="shared" si="286"/>
        <v>430258</v>
      </c>
      <c r="X247" s="122">
        <f t="shared" si="286"/>
        <v>2</v>
      </c>
      <c r="Y247" s="122">
        <f t="shared" si="286"/>
        <v>2359575</v>
      </c>
      <c r="Z247" s="122">
        <f t="shared" si="286"/>
        <v>15</v>
      </c>
      <c r="AA247" s="122">
        <f t="shared" si="286"/>
        <v>-2359575</v>
      </c>
      <c r="AB247" s="122">
        <f t="shared" si="286"/>
        <v>19956</v>
      </c>
      <c r="AC247" s="26">
        <f t="shared" si="286"/>
        <v>450214</v>
      </c>
      <c r="AD247" s="122">
        <f t="shared" si="286"/>
        <v>2</v>
      </c>
      <c r="AE247" s="122">
        <f t="shared" si="286"/>
        <v>450214</v>
      </c>
      <c r="AF247" s="122">
        <f t="shared" si="286"/>
        <v>2</v>
      </c>
      <c r="AG247" s="122">
        <f t="shared" si="286"/>
        <v>0</v>
      </c>
      <c r="AH247" s="122">
        <f t="shared" si="286"/>
        <v>0</v>
      </c>
      <c r="AI247" s="122">
        <f t="shared" si="286"/>
        <v>112553.5</v>
      </c>
      <c r="AJ247" s="122">
        <f t="shared" si="286"/>
        <v>2</v>
      </c>
      <c r="AK247" s="122">
        <f t="shared" si="286"/>
        <v>15</v>
      </c>
      <c r="AL247" s="122">
        <f t="shared" si="286"/>
        <v>2236650</v>
      </c>
      <c r="AM247" s="122">
        <f t="shared" si="286"/>
        <v>4</v>
      </c>
      <c r="AN247" s="122">
        <f t="shared" si="286"/>
        <v>-3995982</v>
      </c>
      <c r="AO247" s="122">
        <f t="shared" si="286"/>
        <v>0</v>
      </c>
      <c r="AP247" s="122">
        <f t="shared" si="286"/>
        <v>2339619</v>
      </c>
      <c r="AQ247" s="122">
        <f t="shared" si="286"/>
        <v>0</v>
      </c>
      <c r="AR247" s="122">
        <f t="shared" si="286"/>
        <v>6232632</v>
      </c>
      <c r="AS247" s="122">
        <f t="shared" si="286"/>
        <v>14</v>
      </c>
      <c r="AT247" s="122">
        <f t="shared" si="286"/>
        <v>192077</v>
      </c>
      <c r="AU247" s="122">
        <f t="shared" si="286"/>
        <v>2</v>
      </c>
      <c r="AV247" s="122">
        <f t="shared" si="286"/>
        <v>6040555</v>
      </c>
      <c r="AW247" s="122">
        <f t="shared" si="286"/>
        <v>12</v>
      </c>
      <c r="AX247" s="122">
        <f t="shared" si="286"/>
        <v>1558158</v>
      </c>
      <c r="AY247" s="122">
        <f t="shared" si="286"/>
        <v>15</v>
      </c>
      <c r="AZ247" s="122">
        <f t="shared" si="286"/>
        <v>1</v>
      </c>
      <c r="BA247" s="122">
        <f t="shared" si="286"/>
        <v>2564459</v>
      </c>
      <c r="BB247" s="122">
        <f t="shared" si="286"/>
        <v>1</v>
      </c>
      <c r="BC247" s="122">
        <f t="shared" si="286"/>
        <v>0</v>
      </c>
      <c r="BD247" s="122">
        <f t="shared" si="286"/>
        <v>0</v>
      </c>
      <c r="BE247" s="122">
        <f t="shared" si="286"/>
        <v>2564459</v>
      </c>
      <c r="BF247" s="122">
        <f t="shared" si="286"/>
        <v>1</v>
      </c>
      <c r="BG247" s="122">
        <f t="shared" si="286"/>
        <v>2564459</v>
      </c>
      <c r="BH247" s="122">
        <f t="shared" si="286"/>
        <v>1</v>
      </c>
      <c r="BI247" s="122">
        <f t="shared" si="286"/>
        <v>0</v>
      </c>
      <c r="BJ247" s="122">
        <f t="shared" si="286"/>
        <v>0</v>
      </c>
      <c r="BK247" s="122">
        <f t="shared" si="286"/>
        <v>641114.75</v>
      </c>
      <c r="BL247" s="122">
        <f t="shared" si="286"/>
        <v>1</v>
      </c>
      <c r="BM247" s="122">
        <f t="shared" si="286"/>
        <v>0</v>
      </c>
      <c r="BN247" s="122">
        <f t="shared" ref="BN247:BT247" si="287">SUM(BN249:BN253)</f>
        <v>0</v>
      </c>
      <c r="BO247" s="122">
        <f t="shared" si="287"/>
        <v>0</v>
      </c>
      <c r="BP247" s="122">
        <f t="shared" si="287"/>
        <v>0</v>
      </c>
      <c r="BQ247" s="122">
        <f t="shared" si="287"/>
        <v>0</v>
      </c>
      <c r="BR247" s="122">
        <f t="shared" si="287"/>
        <v>0</v>
      </c>
      <c r="BS247" s="122">
        <f t="shared" si="287"/>
        <v>0</v>
      </c>
      <c r="BT247" s="55">
        <f t="shared" si="287"/>
        <v>0</v>
      </c>
    </row>
    <row r="248" spans="1:77" ht="56.25" hidden="1" customHeight="1" outlineLevel="1" x14ac:dyDescent="0.25">
      <c r="A248" s="124"/>
      <c r="B248" s="125">
        <v>1</v>
      </c>
      <c r="C248" s="122" t="s">
        <v>1714</v>
      </c>
      <c r="D248" s="122" t="s">
        <v>1720</v>
      </c>
      <c r="E248" s="122" t="s">
        <v>10</v>
      </c>
      <c r="F248" s="122">
        <v>942417</v>
      </c>
      <c r="G248" s="122"/>
      <c r="H248" s="122"/>
      <c r="I248" s="122"/>
      <c r="J248" s="122"/>
      <c r="K248" s="122"/>
      <c r="L248" s="122"/>
      <c r="M248" s="122">
        <v>0</v>
      </c>
      <c r="N248" s="122">
        <f>AC248+AI248</f>
        <v>0</v>
      </c>
      <c r="O248" s="122">
        <v>676899</v>
      </c>
      <c r="P248" s="122">
        <v>1</v>
      </c>
      <c r="Q248" s="26">
        <v>676899</v>
      </c>
      <c r="R248" s="122">
        <v>1</v>
      </c>
      <c r="S248" s="122">
        <f t="shared" si="261"/>
        <v>676899</v>
      </c>
      <c r="T248" s="122"/>
      <c r="U248" s="26">
        <f t="shared" ref="U248:V265" si="288">W248+Y248</f>
        <v>676899</v>
      </c>
      <c r="V248" s="122">
        <v>1</v>
      </c>
      <c r="W248" s="122"/>
      <c r="X248" s="122"/>
      <c r="Y248" s="122">
        <v>676899</v>
      </c>
      <c r="Z248" s="122">
        <f t="shared" ref="Z248:Z265" si="289">IF(Y248,1,0)</f>
        <v>1</v>
      </c>
      <c r="AA248" s="122">
        <v>-676899</v>
      </c>
      <c r="AB248" s="122"/>
      <c r="AC248" s="26">
        <f t="shared" ref="AC248:AD248" si="290">AE248+AG248</f>
        <v>0</v>
      </c>
      <c r="AD248" s="122">
        <f t="shared" si="290"/>
        <v>0</v>
      </c>
      <c r="AE248" s="122"/>
      <c r="AF248" s="122"/>
      <c r="AG248" s="122"/>
      <c r="AH248" s="122">
        <f t="shared" ref="AH248:AH265" si="291">IF(AG248,1,0)</f>
        <v>0</v>
      </c>
      <c r="AI248" s="122">
        <f>AC248/0.8*0.2</f>
        <v>0</v>
      </c>
      <c r="AJ248" s="122"/>
      <c r="AK248" s="122">
        <v>1</v>
      </c>
      <c r="AL248" s="122">
        <v>61930</v>
      </c>
      <c r="AM248" s="122">
        <v>1</v>
      </c>
      <c r="AN248" s="122">
        <f t="shared" si="265"/>
        <v>-676899</v>
      </c>
      <c r="AO248" s="122"/>
      <c r="AP248" s="122">
        <f>U248-AC248</f>
        <v>676899</v>
      </c>
      <c r="AQ248" s="122"/>
      <c r="AR248" s="34">
        <f t="shared" si="268"/>
        <v>738829</v>
      </c>
      <c r="AS248" s="122">
        <v>1</v>
      </c>
      <c r="AT248" s="122"/>
      <c r="AU248" s="122">
        <v>1</v>
      </c>
      <c r="AV248" s="122">
        <f>61930+676899</f>
        <v>738829</v>
      </c>
      <c r="AW248" s="122"/>
      <c r="AX248" s="10">
        <f>AR248/0.8*0.2</f>
        <v>184707.25</v>
      </c>
      <c r="AY248" s="10">
        <v>1</v>
      </c>
      <c r="AZ248" s="10"/>
      <c r="BA248" s="122"/>
      <c r="BB248" s="122"/>
      <c r="BC248" s="10">
        <f t="shared" si="266"/>
        <v>0</v>
      </c>
      <c r="BD248" s="122"/>
      <c r="BE248" s="26"/>
      <c r="BF248" s="122"/>
      <c r="BG248" s="122"/>
      <c r="BH248" s="122"/>
      <c r="BI248" s="122"/>
      <c r="BJ248" s="122"/>
      <c r="BK248" s="122"/>
      <c r="BL248" s="122"/>
      <c r="BM248" s="122"/>
      <c r="BN248" s="122" t="s">
        <v>1816</v>
      </c>
      <c r="BO248" s="122" t="s">
        <v>1817</v>
      </c>
      <c r="BP248" s="122" t="s">
        <v>1818</v>
      </c>
      <c r="BQ248" s="122" t="s">
        <v>1819</v>
      </c>
      <c r="BR248" s="122" t="s">
        <v>1820</v>
      </c>
      <c r="BS248" s="122" t="s">
        <v>1821</v>
      </c>
      <c r="BT248" s="122" t="s">
        <v>1822</v>
      </c>
      <c r="BU248" s="3" t="s">
        <v>1724</v>
      </c>
    </row>
    <row r="249" spans="1:77" ht="39.75" hidden="1" customHeight="1" outlineLevel="1" x14ac:dyDescent="0.25">
      <c r="A249" s="124"/>
      <c r="B249" s="125">
        <v>2</v>
      </c>
      <c r="C249" s="122" t="s">
        <v>314</v>
      </c>
      <c r="D249" s="122" t="s">
        <v>315</v>
      </c>
      <c r="E249" s="122" t="s">
        <v>196</v>
      </c>
      <c r="F249" s="122">
        <v>1848506</v>
      </c>
      <c r="G249" s="122">
        <v>1835870</v>
      </c>
      <c r="H249" s="122">
        <v>1759733</v>
      </c>
      <c r="I249" s="122">
        <f t="shared" ref="I249:I250" si="292">G249-H249</f>
        <v>76137</v>
      </c>
      <c r="J249" s="122">
        <v>1</v>
      </c>
      <c r="K249" s="122"/>
      <c r="L249" s="122"/>
      <c r="M249" s="122">
        <v>1430010</v>
      </c>
      <c r="N249" s="122">
        <f>AC249+AI249</f>
        <v>329722.5</v>
      </c>
      <c r="O249" s="122">
        <v>481631</v>
      </c>
      <c r="P249" s="122">
        <v>1</v>
      </c>
      <c r="Q249" s="26">
        <v>304732</v>
      </c>
      <c r="R249" s="122">
        <v>1</v>
      </c>
      <c r="S249" s="122">
        <f t="shared" si="261"/>
        <v>40954</v>
      </c>
      <c r="T249" s="122"/>
      <c r="U249" s="26">
        <f t="shared" si="288"/>
        <v>243822</v>
      </c>
      <c r="V249" s="122">
        <f t="shared" si="288"/>
        <v>1</v>
      </c>
      <c r="W249" s="122">
        <v>243822</v>
      </c>
      <c r="X249" s="122">
        <f t="shared" ref="X249:X265" si="293">IF(W249,1,0)</f>
        <v>1</v>
      </c>
      <c r="Y249" s="122"/>
      <c r="Z249" s="122">
        <f t="shared" si="289"/>
        <v>0</v>
      </c>
      <c r="AA249" s="122"/>
      <c r="AB249" s="122">
        <v>19956</v>
      </c>
      <c r="AC249" s="26">
        <f t="shared" si="269"/>
        <v>263778</v>
      </c>
      <c r="AD249" s="122">
        <f t="shared" si="269"/>
        <v>1</v>
      </c>
      <c r="AE249" s="122">
        <f>243822+19956</f>
        <v>263778</v>
      </c>
      <c r="AF249" s="122">
        <f t="shared" ref="AF249:AF265" si="294">IF(AE249,1,0)</f>
        <v>1</v>
      </c>
      <c r="AG249" s="122"/>
      <c r="AH249" s="122">
        <f t="shared" si="291"/>
        <v>0</v>
      </c>
      <c r="AI249" s="122">
        <f t="shared" ref="AI249:AI265" si="295">AC249/0.8*0.2</f>
        <v>65944.5</v>
      </c>
      <c r="AJ249" s="122">
        <v>1</v>
      </c>
      <c r="AK249" s="122"/>
      <c r="AL249" s="122">
        <v>0</v>
      </c>
      <c r="AM249" s="122"/>
      <c r="AN249" s="122">
        <f t="shared" si="265"/>
        <v>-19995</v>
      </c>
      <c r="AO249" s="122"/>
      <c r="AP249" s="122">
        <f t="shared" ref="AP249:AP270" si="296">U249-AC249</f>
        <v>-19956</v>
      </c>
      <c r="AQ249" s="122"/>
      <c r="AR249" s="34">
        <f t="shared" si="268"/>
        <v>19995</v>
      </c>
      <c r="AS249" s="10"/>
      <c r="AT249" s="10">
        <v>19995</v>
      </c>
      <c r="AU249" s="10">
        <v>0</v>
      </c>
      <c r="AV249" s="10">
        <v>0</v>
      </c>
      <c r="AW249" s="10">
        <v>0</v>
      </c>
      <c r="AX249" s="10">
        <f t="shared" ref="AX249:AX265" si="297">AR249/0.8*0.2</f>
        <v>4998.75</v>
      </c>
      <c r="AY249" s="10"/>
      <c r="AZ249" s="10"/>
      <c r="BA249" s="10">
        <v>0</v>
      </c>
      <c r="BB249" s="10">
        <v>0</v>
      </c>
      <c r="BC249" s="10">
        <f t="shared" si="266"/>
        <v>0</v>
      </c>
      <c r="BD249" s="10"/>
      <c r="BE249" s="26">
        <f t="shared" ref="BE249:BF316" si="298">BG249+BI249</f>
        <v>0</v>
      </c>
      <c r="BF249" s="122">
        <f t="shared" si="298"/>
        <v>0</v>
      </c>
      <c r="BG249" s="122"/>
      <c r="BH249" s="122">
        <f t="shared" ref="BH249:BH316" si="299">IF(BG249,1,0)</f>
        <v>0</v>
      </c>
      <c r="BI249" s="122"/>
      <c r="BJ249" s="122">
        <f t="shared" ref="BJ249:BJ316" si="300">IF(BI249,1,0)</f>
        <v>0</v>
      </c>
      <c r="BK249" s="122"/>
      <c r="BL249" s="122"/>
      <c r="BM249" s="122"/>
      <c r="BN249" s="122" t="s">
        <v>920</v>
      </c>
      <c r="BO249" s="122" t="s">
        <v>1690</v>
      </c>
      <c r="BP249" s="122" t="s">
        <v>1041</v>
      </c>
      <c r="BQ249" s="122" t="s">
        <v>1044</v>
      </c>
      <c r="BR249" s="122" t="s">
        <v>1042</v>
      </c>
      <c r="BS249" s="122" t="s">
        <v>1045</v>
      </c>
      <c r="BT249" s="55" t="s">
        <v>1043</v>
      </c>
    </row>
    <row r="250" spans="1:77" ht="60.75" hidden="1" customHeight="1" outlineLevel="1" x14ac:dyDescent="0.25">
      <c r="A250" s="124"/>
      <c r="B250" s="125">
        <v>3</v>
      </c>
      <c r="C250" s="122" t="s">
        <v>1496</v>
      </c>
      <c r="D250" s="122" t="s">
        <v>316</v>
      </c>
      <c r="E250" s="122" t="s">
        <v>9</v>
      </c>
      <c r="F250" s="122">
        <v>507198</v>
      </c>
      <c r="G250" s="122">
        <v>505213</v>
      </c>
      <c r="H250" s="122">
        <v>483045</v>
      </c>
      <c r="I250" s="122">
        <f t="shared" si="292"/>
        <v>22168</v>
      </c>
      <c r="J250" s="122">
        <v>1</v>
      </c>
      <c r="K250" s="122"/>
      <c r="L250" s="122"/>
      <c r="M250" s="122">
        <v>250000</v>
      </c>
      <c r="N250" s="122">
        <f t="shared" ref="N250:N265" si="301">AC250+AI250</f>
        <v>233045</v>
      </c>
      <c r="O250" s="122">
        <v>204170</v>
      </c>
      <c r="P250" s="122">
        <v>1</v>
      </c>
      <c r="Q250" s="26">
        <v>204170</v>
      </c>
      <c r="R250" s="122">
        <v>1</v>
      </c>
      <c r="S250" s="122">
        <f t="shared" si="261"/>
        <v>17734</v>
      </c>
      <c r="T250" s="122"/>
      <c r="U250" s="26">
        <f t="shared" si="288"/>
        <v>186436</v>
      </c>
      <c r="V250" s="122">
        <f t="shared" si="288"/>
        <v>1</v>
      </c>
      <c r="W250" s="122">
        <v>186436</v>
      </c>
      <c r="X250" s="122">
        <f t="shared" si="293"/>
        <v>1</v>
      </c>
      <c r="Y250" s="122"/>
      <c r="Z250" s="122">
        <f t="shared" si="289"/>
        <v>0</v>
      </c>
      <c r="AA250" s="122">
        <v>0</v>
      </c>
      <c r="AB250" s="122"/>
      <c r="AC250" s="26">
        <f t="shared" si="269"/>
        <v>186436</v>
      </c>
      <c r="AD250" s="122">
        <f t="shared" si="269"/>
        <v>1</v>
      </c>
      <c r="AE250" s="122">
        <v>186436</v>
      </c>
      <c r="AF250" s="122">
        <f t="shared" si="294"/>
        <v>1</v>
      </c>
      <c r="AG250" s="122"/>
      <c r="AH250" s="122">
        <f t="shared" si="291"/>
        <v>0</v>
      </c>
      <c r="AI250" s="122">
        <f t="shared" si="295"/>
        <v>46609</v>
      </c>
      <c r="AJ250" s="122">
        <v>1</v>
      </c>
      <c r="AK250" s="122"/>
      <c r="AL250" s="122">
        <v>0</v>
      </c>
      <c r="AM250" s="122">
        <v>0</v>
      </c>
      <c r="AN250" s="122">
        <f t="shared" si="265"/>
        <v>0</v>
      </c>
      <c r="AO250" s="122"/>
      <c r="AP250" s="122">
        <f t="shared" si="296"/>
        <v>0</v>
      </c>
      <c r="AQ250" s="122"/>
      <c r="AR250" s="34">
        <f t="shared" si="268"/>
        <v>0</v>
      </c>
      <c r="AS250" s="10">
        <f t="shared" si="268"/>
        <v>0</v>
      </c>
      <c r="AT250" s="10"/>
      <c r="AU250" s="10">
        <f t="shared" ref="AU250:AU317" si="302">IF(AT250,1,0)</f>
        <v>0</v>
      </c>
      <c r="AV250" s="10"/>
      <c r="AW250" s="10">
        <f t="shared" ref="AW250:AW317" si="303">IF(AV250,1,0)</f>
        <v>0</v>
      </c>
      <c r="AX250" s="10">
        <f t="shared" si="297"/>
        <v>0</v>
      </c>
      <c r="AY250" s="10"/>
      <c r="AZ250" s="10"/>
      <c r="BA250" s="10">
        <v>0</v>
      </c>
      <c r="BB250" s="10">
        <v>0</v>
      </c>
      <c r="BC250" s="10">
        <f t="shared" si="266"/>
        <v>0</v>
      </c>
      <c r="BD250" s="10"/>
      <c r="BE250" s="26">
        <f t="shared" si="298"/>
        <v>0</v>
      </c>
      <c r="BF250" s="122">
        <f t="shared" si="298"/>
        <v>0</v>
      </c>
      <c r="BG250" s="122"/>
      <c r="BH250" s="122">
        <f t="shared" si="299"/>
        <v>0</v>
      </c>
      <c r="BI250" s="122"/>
      <c r="BJ250" s="122">
        <f t="shared" si="300"/>
        <v>0</v>
      </c>
      <c r="BK250" s="122"/>
      <c r="BL250" s="122"/>
      <c r="BM250" s="122"/>
      <c r="BN250" s="122" t="s">
        <v>553</v>
      </c>
      <c r="BO250" s="122" t="s">
        <v>1301</v>
      </c>
      <c r="BP250" s="122" t="s">
        <v>556</v>
      </c>
      <c r="BQ250" s="122" t="s">
        <v>555</v>
      </c>
      <c r="BR250" s="122" t="s">
        <v>554</v>
      </c>
      <c r="BS250" s="122" t="s">
        <v>11</v>
      </c>
      <c r="BT250" s="55" t="s">
        <v>1691</v>
      </c>
    </row>
    <row r="251" spans="1:77" ht="62.25" hidden="1" customHeight="1" outlineLevel="1" x14ac:dyDescent="0.25">
      <c r="A251" s="124"/>
      <c r="B251" s="125">
        <v>4</v>
      </c>
      <c r="C251" s="122" t="s">
        <v>1495</v>
      </c>
      <c r="D251" s="122" t="s">
        <v>547</v>
      </c>
      <c r="E251" s="122" t="s">
        <v>10</v>
      </c>
      <c r="F251" s="122">
        <v>317663</v>
      </c>
      <c r="G251" s="122">
        <v>315678</v>
      </c>
      <c r="H251" s="122"/>
      <c r="I251" s="122"/>
      <c r="J251" s="122"/>
      <c r="K251" s="122"/>
      <c r="L251" s="122"/>
      <c r="M251" s="122">
        <v>0</v>
      </c>
      <c r="N251" s="122">
        <f t="shared" si="301"/>
        <v>0</v>
      </c>
      <c r="O251" s="122">
        <v>252542</v>
      </c>
      <c r="P251" s="122">
        <v>1</v>
      </c>
      <c r="Q251" s="26">
        <v>164956</v>
      </c>
      <c r="R251" s="122">
        <v>1</v>
      </c>
      <c r="S251" s="122">
        <f t="shared" si="261"/>
        <v>164956</v>
      </c>
      <c r="T251" s="122"/>
      <c r="U251" s="26">
        <f t="shared" si="288"/>
        <v>164956</v>
      </c>
      <c r="V251" s="122">
        <f t="shared" si="288"/>
        <v>1</v>
      </c>
      <c r="W251" s="122"/>
      <c r="X251" s="122">
        <f t="shared" si="293"/>
        <v>0</v>
      </c>
      <c r="Y251" s="122">
        <v>164956</v>
      </c>
      <c r="Z251" s="122">
        <f t="shared" si="289"/>
        <v>1</v>
      </c>
      <c r="AA251" s="122">
        <v>-164956</v>
      </c>
      <c r="AB251" s="122"/>
      <c r="AC251" s="26">
        <f t="shared" si="269"/>
        <v>0</v>
      </c>
      <c r="AD251" s="122">
        <f t="shared" si="269"/>
        <v>0</v>
      </c>
      <c r="AE251" s="122"/>
      <c r="AF251" s="122">
        <f t="shared" si="294"/>
        <v>0</v>
      </c>
      <c r="AG251" s="122"/>
      <c r="AH251" s="122">
        <f t="shared" si="291"/>
        <v>0</v>
      </c>
      <c r="AI251" s="122">
        <f t="shared" si="295"/>
        <v>0</v>
      </c>
      <c r="AJ251" s="122"/>
      <c r="AK251" s="122">
        <v>1</v>
      </c>
      <c r="AL251" s="122">
        <v>87586</v>
      </c>
      <c r="AM251" s="122">
        <v>1</v>
      </c>
      <c r="AN251" s="122">
        <f t="shared" si="265"/>
        <v>-84496</v>
      </c>
      <c r="AO251" s="122"/>
      <c r="AP251" s="122">
        <f t="shared" si="296"/>
        <v>164956</v>
      </c>
      <c r="AQ251" s="122"/>
      <c r="AR251" s="34">
        <f t="shared" si="268"/>
        <v>172082</v>
      </c>
      <c r="AS251" s="10">
        <f t="shared" si="268"/>
        <v>1</v>
      </c>
      <c r="AT251" s="10">
        <f>252542-60000-460-20000</f>
        <v>172082</v>
      </c>
      <c r="AU251" s="10">
        <f t="shared" si="302"/>
        <v>1</v>
      </c>
      <c r="AV251" s="10"/>
      <c r="AW251" s="10">
        <f t="shared" si="303"/>
        <v>0</v>
      </c>
      <c r="AX251" s="10">
        <f t="shared" si="297"/>
        <v>43020.5</v>
      </c>
      <c r="AY251" s="10">
        <v>1</v>
      </c>
      <c r="AZ251" s="10"/>
      <c r="BA251" s="10">
        <v>0</v>
      </c>
      <c r="BB251" s="10">
        <v>0</v>
      </c>
      <c r="BC251" s="10">
        <f t="shared" si="266"/>
        <v>0</v>
      </c>
      <c r="BD251" s="10"/>
      <c r="BE251" s="26">
        <f t="shared" si="298"/>
        <v>0</v>
      </c>
      <c r="BF251" s="122">
        <f t="shared" si="298"/>
        <v>0</v>
      </c>
      <c r="BG251" s="122"/>
      <c r="BH251" s="122">
        <f t="shared" si="299"/>
        <v>0</v>
      </c>
      <c r="BI251" s="122"/>
      <c r="BJ251" s="122">
        <f t="shared" si="300"/>
        <v>0</v>
      </c>
      <c r="BK251" s="122"/>
      <c r="BL251" s="122"/>
      <c r="BM251" s="122"/>
      <c r="BN251" s="122" t="s">
        <v>548</v>
      </c>
      <c r="BO251" s="122" t="s">
        <v>1692</v>
      </c>
      <c r="BP251" s="122" t="s">
        <v>549</v>
      </c>
      <c r="BQ251" s="122" t="s">
        <v>550</v>
      </c>
      <c r="BR251" s="122" t="s">
        <v>551</v>
      </c>
      <c r="BS251" s="122" t="s">
        <v>11</v>
      </c>
      <c r="BT251" s="55" t="s">
        <v>552</v>
      </c>
    </row>
    <row r="252" spans="1:77" ht="39" hidden="1" customHeight="1" outlineLevel="1" x14ac:dyDescent="0.25">
      <c r="A252" s="124"/>
      <c r="B252" s="125">
        <v>5</v>
      </c>
      <c r="C252" s="67" t="s">
        <v>1258</v>
      </c>
      <c r="D252" s="122" t="s">
        <v>1721</v>
      </c>
      <c r="E252" s="122">
        <v>2015</v>
      </c>
      <c r="F252" s="122">
        <v>596160</v>
      </c>
      <c r="G252" s="122">
        <v>593931</v>
      </c>
      <c r="H252" s="122"/>
      <c r="I252" s="122"/>
      <c r="J252" s="122"/>
      <c r="K252" s="122"/>
      <c r="L252" s="122"/>
      <c r="M252" s="122">
        <v>0</v>
      </c>
      <c r="N252" s="122">
        <f t="shared" si="301"/>
        <v>0</v>
      </c>
      <c r="O252" s="122">
        <v>0</v>
      </c>
      <c r="P252" s="122">
        <v>0</v>
      </c>
      <c r="Q252" s="26">
        <v>200000</v>
      </c>
      <c r="R252" s="122">
        <v>1</v>
      </c>
      <c r="S252" s="122">
        <f t="shared" si="261"/>
        <v>200000</v>
      </c>
      <c r="T252" s="122"/>
      <c r="U252" s="26">
        <f t="shared" si="288"/>
        <v>295145</v>
      </c>
      <c r="V252" s="122">
        <f t="shared" si="288"/>
        <v>1</v>
      </c>
      <c r="W252" s="122"/>
      <c r="X252" s="122">
        <f t="shared" si="293"/>
        <v>0</v>
      </c>
      <c r="Y252" s="122">
        <f>475145-180000</f>
        <v>295145</v>
      </c>
      <c r="Z252" s="122">
        <f t="shared" si="289"/>
        <v>1</v>
      </c>
      <c r="AA252" s="122">
        <v>-295145</v>
      </c>
      <c r="AB252" s="122"/>
      <c r="AC252" s="26">
        <f t="shared" si="269"/>
        <v>0</v>
      </c>
      <c r="AD252" s="122">
        <f t="shared" si="269"/>
        <v>0</v>
      </c>
      <c r="AE252" s="122"/>
      <c r="AF252" s="122">
        <f t="shared" si="294"/>
        <v>0</v>
      </c>
      <c r="AG252" s="122"/>
      <c r="AH252" s="122">
        <f t="shared" si="291"/>
        <v>0</v>
      </c>
      <c r="AI252" s="122">
        <f t="shared" si="295"/>
        <v>0</v>
      </c>
      <c r="AJ252" s="122"/>
      <c r="AK252" s="122">
        <v>1</v>
      </c>
      <c r="AL252" s="122">
        <v>275145</v>
      </c>
      <c r="AM252" s="122">
        <v>1</v>
      </c>
      <c r="AN252" s="122">
        <f t="shared" si="265"/>
        <v>-200000</v>
      </c>
      <c r="AO252" s="122"/>
      <c r="AP252" s="122">
        <f t="shared" si="296"/>
        <v>295145</v>
      </c>
      <c r="AQ252" s="122"/>
      <c r="AR252" s="34">
        <f t="shared" si="268"/>
        <v>475145</v>
      </c>
      <c r="AS252" s="10">
        <f t="shared" si="268"/>
        <v>1</v>
      </c>
      <c r="AT252" s="10"/>
      <c r="AU252" s="10">
        <f t="shared" si="302"/>
        <v>0</v>
      </c>
      <c r="AV252" s="10">
        <f>385145+90000</f>
        <v>475145</v>
      </c>
      <c r="AW252" s="10">
        <f t="shared" si="303"/>
        <v>1</v>
      </c>
      <c r="AX252" s="10">
        <f t="shared" si="297"/>
        <v>118786.25</v>
      </c>
      <c r="AY252" s="10">
        <v>1</v>
      </c>
      <c r="AZ252" s="10"/>
      <c r="BA252" s="10">
        <v>0</v>
      </c>
      <c r="BB252" s="10">
        <v>0</v>
      </c>
      <c r="BC252" s="10">
        <f t="shared" si="266"/>
        <v>0</v>
      </c>
      <c r="BD252" s="10"/>
      <c r="BE252" s="26">
        <f t="shared" si="298"/>
        <v>0</v>
      </c>
      <c r="BF252" s="122">
        <f t="shared" si="298"/>
        <v>0</v>
      </c>
      <c r="BG252" s="122"/>
      <c r="BH252" s="122">
        <f t="shared" si="299"/>
        <v>0</v>
      </c>
      <c r="BI252" s="122"/>
      <c r="BJ252" s="122">
        <f t="shared" si="300"/>
        <v>0</v>
      </c>
      <c r="BK252" s="122"/>
      <c r="BL252" s="122"/>
      <c r="BM252" s="122"/>
      <c r="BN252" s="122" t="s">
        <v>1742</v>
      </c>
      <c r="BO252" s="122" t="s">
        <v>1743</v>
      </c>
      <c r="BP252" s="122" t="s">
        <v>1744</v>
      </c>
      <c r="BQ252" s="122" t="s">
        <v>1745</v>
      </c>
      <c r="BR252" s="122" t="s">
        <v>1746</v>
      </c>
      <c r="BS252" s="122" t="s">
        <v>1747</v>
      </c>
      <c r="BT252" s="55" t="s">
        <v>1748</v>
      </c>
    </row>
    <row r="253" spans="1:77" ht="57" hidden="1" customHeight="1" outlineLevel="1" x14ac:dyDescent="0.25">
      <c r="A253" s="124"/>
      <c r="B253" s="125">
        <v>6</v>
      </c>
      <c r="C253" s="122" t="s">
        <v>1259</v>
      </c>
      <c r="D253" s="122" t="s">
        <v>1722</v>
      </c>
      <c r="E253" s="122" t="s">
        <v>1118</v>
      </c>
      <c r="F253" s="122">
        <v>5741698</v>
      </c>
      <c r="G253" s="122">
        <v>5720560</v>
      </c>
      <c r="H253" s="122"/>
      <c r="I253" s="122"/>
      <c r="J253" s="122"/>
      <c r="K253" s="122"/>
      <c r="L253" s="122"/>
      <c r="M253" s="122">
        <v>0</v>
      </c>
      <c r="N253" s="122">
        <f t="shared" si="301"/>
        <v>0</v>
      </c>
      <c r="O253" s="122">
        <v>0</v>
      </c>
      <c r="P253" s="122">
        <v>0</v>
      </c>
      <c r="Q253" s="26">
        <v>0</v>
      </c>
      <c r="R253" s="122">
        <v>0</v>
      </c>
      <c r="S253" s="122">
        <f t="shared" si="261"/>
        <v>0</v>
      </c>
      <c r="T253" s="122"/>
      <c r="U253" s="26">
        <f t="shared" si="288"/>
        <v>0</v>
      </c>
      <c r="V253" s="122">
        <f t="shared" si="288"/>
        <v>0</v>
      </c>
      <c r="W253" s="122"/>
      <c r="X253" s="122">
        <f t="shared" si="293"/>
        <v>0</v>
      </c>
      <c r="Y253" s="122"/>
      <c r="Z253" s="122">
        <f t="shared" si="289"/>
        <v>0</v>
      </c>
      <c r="AA253" s="122">
        <v>0</v>
      </c>
      <c r="AB253" s="122"/>
      <c r="AC253" s="26">
        <f t="shared" si="269"/>
        <v>0</v>
      </c>
      <c r="AD253" s="122">
        <f t="shared" si="269"/>
        <v>0</v>
      </c>
      <c r="AE253" s="122"/>
      <c r="AF253" s="122">
        <f t="shared" si="294"/>
        <v>0</v>
      </c>
      <c r="AG253" s="122"/>
      <c r="AH253" s="122">
        <f t="shared" si="291"/>
        <v>0</v>
      </c>
      <c r="AI253" s="122">
        <f t="shared" si="295"/>
        <v>0</v>
      </c>
      <c r="AJ253" s="122"/>
      <c r="AK253" s="122"/>
      <c r="AL253" s="122">
        <v>1811989</v>
      </c>
      <c r="AM253" s="122">
        <v>1</v>
      </c>
      <c r="AN253" s="122">
        <f t="shared" si="265"/>
        <v>0</v>
      </c>
      <c r="AO253" s="122"/>
      <c r="AP253" s="122">
        <f t="shared" si="296"/>
        <v>0</v>
      </c>
      <c r="AQ253" s="122"/>
      <c r="AR253" s="34">
        <f t="shared" si="268"/>
        <v>1811989</v>
      </c>
      <c r="AS253" s="10">
        <f t="shared" si="268"/>
        <v>1</v>
      </c>
      <c r="AT253" s="10"/>
      <c r="AU253" s="10">
        <f t="shared" si="302"/>
        <v>0</v>
      </c>
      <c r="AV253" s="10">
        <f>1811989</f>
        <v>1811989</v>
      </c>
      <c r="AW253" s="10">
        <f t="shared" si="303"/>
        <v>1</v>
      </c>
      <c r="AX253" s="10">
        <f t="shared" si="297"/>
        <v>452997.25</v>
      </c>
      <c r="AY253" s="10"/>
      <c r="AZ253" s="10">
        <v>1</v>
      </c>
      <c r="BA253" s="10">
        <v>2564459</v>
      </c>
      <c r="BB253" s="10">
        <v>1</v>
      </c>
      <c r="BC253" s="10">
        <f t="shared" si="266"/>
        <v>0</v>
      </c>
      <c r="BD253" s="10"/>
      <c r="BE253" s="26">
        <f t="shared" si="298"/>
        <v>2564459</v>
      </c>
      <c r="BF253" s="122">
        <f t="shared" si="298"/>
        <v>1</v>
      </c>
      <c r="BG253" s="122">
        <f>2564459</f>
        <v>2564459</v>
      </c>
      <c r="BH253" s="122">
        <f t="shared" si="299"/>
        <v>1</v>
      </c>
      <c r="BI253" s="122"/>
      <c r="BJ253" s="122">
        <f t="shared" si="300"/>
        <v>0</v>
      </c>
      <c r="BK253" s="122">
        <f>BE253/0.8*0.2</f>
        <v>641114.75</v>
      </c>
      <c r="BL253" s="122">
        <v>1</v>
      </c>
      <c r="BM253" s="122"/>
      <c r="BN253" s="122" t="s">
        <v>1725</v>
      </c>
      <c r="BO253" s="122" t="s">
        <v>1692</v>
      </c>
      <c r="BP253" s="122" t="s">
        <v>1726</v>
      </c>
      <c r="BQ253" s="122" t="s">
        <v>1727</v>
      </c>
      <c r="BR253" s="122" t="s">
        <v>1728</v>
      </c>
      <c r="BS253" s="122" t="s">
        <v>1729</v>
      </c>
      <c r="BT253" s="55" t="s">
        <v>1730</v>
      </c>
      <c r="BU253" s="3" t="s">
        <v>1724</v>
      </c>
    </row>
    <row r="254" spans="1:77" ht="57" hidden="1" customHeight="1" outlineLevel="1" x14ac:dyDescent="0.25">
      <c r="A254" s="124"/>
      <c r="B254" s="125"/>
      <c r="C254" s="122" t="s">
        <v>1831</v>
      </c>
      <c r="D254" s="122" t="s">
        <v>1832</v>
      </c>
      <c r="E254" s="122" t="s">
        <v>10</v>
      </c>
      <c r="F254" s="122">
        <v>318716</v>
      </c>
      <c r="G254" s="122">
        <v>311485</v>
      </c>
      <c r="H254" s="122"/>
      <c r="I254" s="122"/>
      <c r="J254" s="122"/>
      <c r="K254" s="122"/>
      <c r="L254" s="122"/>
      <c r="M254" s="122"/>
      <c r="N254" s="122">
        <f t="shared" si="301"/>
        <v>0</v>
      </c>
      <c r="O254" s="122"/>
      <c r="P254" s="122"/>
      <c r="Q254" s="26"/>
      <c r="R254" s="122"/>
      <c r="S254" s="122"/>
      <c r="T254" s="122"/>
      <c r="U254" s="26">
        <f t="shared" si="288"/>
        <v>70000</v>
      </c>
      <c r="V254" s="122">
        <f t="shared" si="288"/>
        <v>1</v>
      </c>
      <c r="W254" s="122"/>
      <c r="X254" s="122">
        <f t="shared" si="293"/>
        <v>0</v>
      </c>
      <c r="Y254" s="122">
        <v>70000</v>
      </c>
      <c r="Z254" s="122">
        <f t="shared" si="289"/>
        <v>1</v>
      </c>
      <c r="AA254" s="122">
        <v>-70000</v>
      </c>
      <c r="AB254" s="122"/>
      <c r="AC254" s="26">
        <f t="shared" si="269"/>
        <v>0</v>
      </c>
      <c r="AD254" s="122">
        <f t="shared" si="269"/>
        <v>0</v>
      </c>
      <c r="AE254" s="122"/>
      <c r="AF254" s="122">
        <f t="shared" si="294"/>
        <v>0</v>
      </c>
      <c r="AG254" s="122"/>
      <c r="AH254" s="122">
        <f t="shared" si="291"/>
        <v>0</v>
      </c>
      <c r="AI254" s="122">
        <f t="shared" si="295"/>
        <v>0</v>
      </c>
      <c r="AJ254" s="122"/>
      <c r="AK254" s="122">
        <v>1</v>
      </c>
      <c r="AL254" s="122"/>
      <c r="AM254" s="122"/>
      <c r="AN254" s="122">
        <f t="shared" si="265"/>
        <v>-249188</v>
      </c>
      <c r="AO254" s="122"/>
      <c r="AP254" s="122">
        <f t="shared" si="296"/>
        <v>70000</v>
      </c>
      <c r="AQ254" s="122"/>
      <c r="AR254" s="34">
        <f t="shared" si="268"/>
        <v>249188</v>
      </c>
      <c r="AS254" s="10">
        <f t="shared" si="268"/>
        <v>1</v>
      </c>
      <c r="AT254" s="10"/>
      <c r="AU254" s="10">
        <f t="shared" si="302"/>
        <v>0</v>
      </c>
      <c r="AV254" s="10">
        <f>189188+60000</f>
        <v>249188</v>
      </c>
      <c r="AW254" s="10">
        <f t="shared" si="303"/>
        <v>1</v>
      </c>
      <c r="AX254" s="10">
        <f t="shared" si="297"/>
        <v>62297</v>
      </c>
      <c r="AY254" s="10">
        <v>1</v>
      </c>
      <c r="AZ254" s="10"/>
      <c r="BA254" s="10"/>
      <c r="BB254" s="10"/>
      <c r="BC254" s="10"/>
      <c r="BD254" s="10"/>
      <c r="BE254" s="26"/>
      <c r="BF254" s="122"/>
      <c r="BG254" s="122"/>
      <c r="BH254" s="122"/>
      <c r="BI254" s="122"/>
      <c r="BJ254" s="122"/>
      <c r="BK254" s="122"/>
      <c r="BL254" s="122"/>
      <c r="BM254" s="122"/>
      <c r="BN254" s="122" t="s">
        <v>1855</v>
      </c>
      <c r="BO254" s="122" t="s">
        <v>1867</v>
      </c>
      <c r="BP254" s="122" t="s">
        <v>1868</v>
      </c>
      <c r="BQ254" s="122" t="s">
        <v>1869</v>
      </c>
      <c r="BR254" s="122" t="s">
        <v>1870</v>
      </c>
      <c r="BS254" s="122" t="s">
        <v>1871</v>
      </c>
      <c r="BT254" s="55" t="s">
        <v>1872</v>
      </c>
    </row>
    <row r="255" spans="1:77" ht="57" hidden="1" customHeight="1" outlineLevel="1" x14ac:dyDescent="0.25">
      <c r="A255" s="124"/>
      <c r="B255" s="125"/>
      <c r="C255" s="122" t="s">
        <v>1833</v>
      </c>
      <c r="D255" s="122" t="s">
        <v>1834</v>
      </c>
      <c r="E255" s="122" t="s">
        <v>10</v>
      </c>
      <c r="F255" s="122">
        <v>323606</v>
      </c>
      <c r="G255" s="122">
        <v>316301</v>
      </c>
      <c r="H255" s="122"/>
      <c r="I255" s="122"/>
      <c r="J255" s="122"/>
      <c r="K255" s="122"/>
      <c r="L255" s="122"/>
      <c r="M255" s="122"/>
      <c r="N255" s="122">
        <f t="shared" si="301"/>
        <v>0</v>
      </c>
      <c r="O255" s="122"/>
      <c r="P255" s="122"/>
      <c r="Q255" s="26"/>
      <c r="R255" s="122"/>
      <c r="S255" s="122"/>
      <c r="T255" s="122"/>
      <c r="U255" s="26">
        <f t="shared" si="288"/>
        <v>70000</v>
      </c>
      <c r="V255" s="122">
        <f t="shared" si="288"/>
        <v>1</v>
      </c>
      <c r="W255" s="122"/>
      <c r="X255" s="122">
        <f t="shared" si="293"/>
        <v>0</v>
      </c>
      <c r="Y255" s="122">
        <v>70000</v>
      </c>
      <c r="Z255" s="122">
        <f t="shared" si="289"/>
        <v>1</v>
      </c>
      <c r="AA255" s="122">
        <v>-70000</v>
      </c>
      <c r="AB255" s="122"/>
      <c r="AC255" s="26">
        <f t="shared" si="269"/>
        <v>0</v>
      </c>
      <c r="AD255" s="122">
        <f t="shared" si="269"/>
        <v>0</v>
      </c>
      <c r="AE255" s="122"/>
      <c r="AF255" s="122">
        <f t="shared" si="294"/>
        <v>0</v>
      </c>
      <c r="AG255" s="122"/>
      <c r="AH255" s="122">
        <f t="shared" si="291"/>
        <v>0</v>
      </c>
      <c r="AI255" s="122">
        <f t="shared" si="295"/>
        <v>0</v>
      </c>
      <c r="AJ255" s="122"/>
      <c r="AK255" s="122">
        <v>1</v>
      </c>
      <c r="AL255" s="122"/>
      <c r="AM255" s="122"/>
      <c r="AN255" s="122">
        <f t="shared" si="265"/>
        <v>0</v>
      </c>
      <c r="AO255" s="122"/>
      <c r="AP255" s="122">
        <f t="shared" si="296"/>
        <v>70000</v>
      </c>
      <c r="AQ255" s="122"/>
      <c r="AR255" s="34">
        <f t="shared" si="268"/>
        <v>0</v>
      </c>
      <c r="AS255" s="10">
        <f t="shared" si="268"/>
        <v>0</v>
      </c>
      <c r="AT255" s="10"/>
      <c r="AU255" s="10">
        <f t="shared" si="302"/>
        <v>0</v>
      </c>
      <c r="AV255" s="10"/>
      <c r="AW255" s="10">
        <f t="shared" si="303"/>
        <v>0</v>
      </c>
      <c r="AX255" s="10">
        <f t="shared" si="297"/>
        <v>0</v>
      </c>
      <c r="AY255" s="10">
        <v>1</v>
      </c>
      <c r="AZ255" s="10"/>
      <c r="BA255" s="10"/>
      <c r="BB255" s="10"/>
      <c r="BC255" s="10"/>
      <c r="BD255" s="10"/>
      <c r="BE255" s="26"/>
      <c r="BF255" s="122"/>
      <c r="BG255" s="122"/>
      <c r="BH255" s="122"/>
      <c r="BI255" s="122"/>
      <c r="BJ255" s="122"/>
      <c r="BK255" s="122"/>
      <c r="BL255" s="122"/>
      <c r="BM255" s="122"/>
      <c r="BN255" s="122" t="s">
        <v>1856</v>
      </c>
      <c r="BO255" s="122" t="s">
        <v>1867</v>
      </c>
      <c r="BP255" s="122" t="s">
        <v>1873</v>
      </c>
      <c r="BQ255" s="122" t="s">
        <v>1874</v>
      </c>
      <c r="BR255" s="122" t="s">
        <v>1875</v>
      </c>
      <c r="BS255" s="122" t="s">
        <v>1876</v>
      </c>
      <c r="BT255" s="55" t="s">
        <v>1877</v>
      </c>
    </row>
    <row r="256" spans="1:77" ht="57" hidden="1" customHeight="1" outlineLevel="1" x14ac:dyDescent="0.25">
      <c r="A256" s="124"/>
      <c r="B256" s="125"/>
      <c r="C256" s="122" t="s">
        <v>1835</v>
      </c>
      <c r="D256" s="122" t="s">
        <v>1836</v>
      </c>
      <c r="E256" s="122" t="s">
        <v>10</v>
      </c>
      <c r="F256" s="122">
        <v>350991</v>
      </c>
      <c r="G256" s="122">
        <v>343672</v>
      </c>
      <c r="H256" s="122"/>
      <c r="I256" s="122"/>
      <c r="J256" s="122"/>
      <c r="K256" s="122"/>
      <c r="L256" s="122"/>
      <c r="M256" s="122"/>
      <c r="N256" s="122">
        <f t="shared" si="301"/>
        <v>0</v>
      </c>
      <c r="O256" s="122"/>
      <c r="P256" s="122"/>
      <c r="Q256" s="26"/>
      <c r="R256" s="122"/>
      <c r="S256" s="122"/>
      <c r="T256" s="122"/>
      <c r="U256" s="26">
        <f t="shared" si="288"/>
        <v>80000</v>
      </c>
      <c r="V256" s="122">
        <f t="shared" si="288"/>
        <v>1</v>
      </c>
      <c r="W256" s="122"/>
      <c r="X256" s="122">
        <f t="shared" si="293"/>
        <v>0</v>
      </c>
      <c r="Y256" s="122">
        <v>80000</v>
      </c>
      <c r="Z256" s="122">
        <f t="shared" si="289"/>
        <v>1</v>
      </c>
      <c r="AA256" s="122">
        <v>-80000</v>
      </c>
      <c r="AB256" s="122"/>
      <c r="AC256" s="26">
        <f t="shared" si="269"/>
        <v>0</v>
      </c>
      <c r="AD256" s="122">
        <f t="shared" si="269"/>
        <v>0</v>
      </c>
      <c r="AE256" s="122"/>
      <c r="AF256" s="122">
        <f t="shared" si="294"/>
        <v>0</v>
      </c>
      <c r="AG256" s="122"/>
      <c r="AH256" s="122">
        <f t="shared" si="291"/>
        <v>0</v>
      </c>
      <c r="AI256" s="122">
        <f t="shared" si="295"/>
        <v>0</v>
      </c>
      <c r="AJ256" s="122"/>
      <c r="AK256" s="122">
        <v>1</v>
      </c>
      <c r="AL256" s="122"/>
      <c r="AM256" s="122"/>
      <c r="AN256" s="122">
        <f t="shared" si="265"/>
        <v>-274938</v>
      </c>
      <c r="AO256" s="122"/>
      <c r="AP256" s="122">
        <f t="shared" si="296"/>
        <v>80000</v>
      </c>
      <c r="AQ256" s="122"/>
      <c r="AR256" s="34">
        <f t="shared" si="268"/>
        <v>274938</v>
      </c>
      <c r="AS256" s="10">
        <f t="shared" si="268"/>
        <v>1</v>
      </c>
      <c r="AT256" s="10"/>
      <c r="AU256" s="10">
        <f t="shared" si="302"/>
        <v>0</v>
      </c>
      <c r="AV256" s="10">
        <f>224938+50000</f>
        <v>274938</v>
      </c>
      <c r="AW256" s="10">
        <f t="shared" si="303"/>
        <v>1</v>
      </c>
      <c r="AX256" s="10">
        <f t="shared" si="297"/>
        <v>68734.5</v>
      </c>
      <c r="AY256" s="10">
        <v>1</v>
      </c>
      <c r="AZ256" s="10"/>
      <c r="BA256" s="10"/>
      <c r="BB256" s="10"/>
      <c r="BC256" s="10"/>
      <c r="BD256" s="10"/>
      <c r="BE256" s="26"/>
      <c r="BF256" s="122"/>
      <c r="BG256" s="122"/>
      <c r="BH256" s="122"/>
      <c r="BI256" s="122"/>
      <c r="BJ256" s="122"/>
      <c r="BK256" s="122"/>
      <c r="BL256" s="122"/>
      <c r="BM256" s="122"/>
      <c r="BN256" s="122" t="s">
        <v>1857</v>
      </c>
      <c r="BO256" s="122" t="s">
        <v>1867</v>
      </c>
      <c r="BP256" s="122" t="s">
        <v>1878</v>
      </c>
      <c r="BQ256" s="122" t="s">
        <v>1879</v>
      </c>
      <c r="BR256" s="122" t="s">
        <v>1880</v>
      </c>
      <c r="BS256" s="122" t="s">
        <v>1881</v>
      </c>
      <c r="BT256" s="55" t="s">
        <v>1882</v>
      </c>
    </row>
    <row r="257" spans="1:77" ht="57" hidden="1" customHeight="1" outlineLevel="1" x14ac:dyDescent="0.25">
      <c r="A257" s="124"/>
      <c r="B257" s="125"/>
      <c r="C257" s="122" t="s">
        <v>1837</v>
      </c>
      <c r="D257" s="122" t="s">
        <v>1838</v>
      </c>
      <c r="E257" s="122" t="s">
        <v>10</v>
      </c>
      <c r="F257" s="122">
        <v>387378</v>
      </c>
      <c r="G257" s="122">
        <v>384058</v>
      </c>
      <c r="H257" s="122"/>
      <c r="I257" s="122"/>
      <c r="J257" s="122"/>
      <c r="K257" s="122"/>
      <c r="L257" s="122"/>
      <c r="M257" s="122"/>
      <c r="N257" s="122">
        <f t="shared" si="301"/>
        <v>0</v>
      </c>
      <c r="O257" s="122"/>
      <c r="P257" s="122"/>
      <c r="Q257" s="26"/>
      <c r="R257" s="122"/>
      <c r="S257" s="122"/>
      <c r="T257" s="122"/>
      <c r="U257" s="26">
        <f t="shared" si="288"/>
        <v>80000</v>
      </c>
      <c r="V257" s="122">
        <f t="shared" si="288"/>
        <v>1</v>
      </c>
      <c r="W257" s="122"/>
      <c r="X257" s="122">
        <f t="shared" si="293"/>
        <v>0</v>
      </c>
      <c r="Y257" s="122">
        <v>80000</v>
      </c>
      <c r="Z257" s="122">
        <f t="shared" si="289"/>
        <v>1</v>
      </c>
      <c r="AA257" s="122">
        <v>-80000</v>
      </c>
      <c r="AB257" s="122"/>
      <c r="AC257" s="26">
        <f t="shared" si="269"/>
        <v>0</v>
      </c>
      <c r="AD257" s="122">
        <f t="shared" si="269"/>
        <v>0</v>
      </c>
      <c r="AE257" s="122"/>
      <c r="AF257" s="122">
        <f t="shared" si="294"/>
        <v>0</v>
      </c>
      <c r="AG257" s="122"/>
      <c r="AH257" s="122">
        <f t="shared" si="291"/>
        <v>0</v>
      </c>
      <c r="AI257" s="122">
        <f t="shared" si="295"/>
        <v>0</v>
      </c>
      <c r="AJ257" s="122"/>
      <c r="AK257" s="122">
        <v>1</v>
      </c>
      <c r="AL257" s="122"/>
      <c r="AM257" s="122"/>
      <c r="AN257" s="122">
        <f t="shared" si="265"/>
        <v>-307246</v>
      </c>
      <c r="AO257" s="122"/>
      <c r="AP257" s="122">
        <f t="shared" si="296"/>
        <v>80000</v>
      </c>
      <c r="AQ257" s="122"/>
      <c r="AR257" s="34">
        <f t="shared" si="268"/>
        <v>307246</v>
      </c>
      <c r="AS257" s="10">
        <f t="shared" si="268"/>
        <v>1</v>
      </c>
      <c r="AT257" s="10"/>
      <c r="AU257" s="10">
        <f t="shared" si="302"/>
        <v>0</v>
      </c>
      <c r="AV257" s="10">
        <f>247246+60000</f>
        <v>307246</v>
      </c>
      <c r="AW257" s="10">
        <f t="shared" si="303"/>
        <v>1</v>
      </c>
      <c r="AX257" s="10">
        <f t="shared" si="297"/>
        <v>76811.5</v>
      </c>
      <c r="AY257" s="10">
        <v>1</v>
      </c>
      <c r="AZ257" s="10"/>
      <c r="BA257" s="10"/>
      <c r="BB257" s="10"/>
      <c r="BC257" s="10"/>
      <c r="BD257" s="10"/>
      <c r="BE257" s="26"/>
      <c r="BF257" s="122"/>
      <c r="BG257" s="122"/>
      <c r="BH257" s="122"/>
      <c r="BI257" s="122"/>
      <c r="BJ257" s="122"/>
      <c r="BK257" s="122"/>
      <c r="BL257" s="122"/>
      <c r="BM257" s="122"/>
      <c r="BN257" s="122" t="s">
        <v>1858</v>
      </c>
      <c r="BO257" s="122" t="s">
        <v>1883</v>
      </c>
      <c r="BP257" s="122" t="s">
        <v>1884</v>
      </c>
      <c r="BQ257" s="122" t="s">
        <v>1885</v>
      </c>
      <c r="BR257" s="122" t="s">
        <v>1886</v>
      </c>
      <c r="BS257" s="122" t="s">
        <v>1887</v>
      </c>
      <c r="BT257" s="55" t="s">
        <v>1888</v>
      </c>
    </row>
    <row r="258" spans="1:77" ht="57" hidden="1" customHeight="1" outlineLevel="1" x14ac:dyDescent="0.25">
      <c r="A258" s="124"/>
      <c r="B258" s="125"/>
      <c r="C258" s="122" t="s">
        <v>1839</v>
      </c>
      <c r="D258" s="122" t="s">
        <v>1840</v>
      </c>
      <c r="E258" s="122" t="s">
        <v>10</v>
      </c>
      <c r="F258" s="122">
        <v>399274</v>
      </c>
      <c r="G258" s="122">
        <v>396514</v>
      </c>
      <c r="H258" s="122"/>
      <c r="I258" s="122"/>
      <c r="J258" s="122"/>
      <c r="K258" s="122"/>
      <c r="L258" s="122"/>
      <c r="M258" s="122"/>
      <c r="N258" s="122">
        <f t="shared" si="301"/>
        <v>0</v>
      </c>
      <c r="O258" s="122"/>
      <c r="P258" s="122"/>
      <c r="Q258" s="26"/>
      <c r="R258" s="122"/>
      <c r="S258" s="122"/>
      <c r="T258" s="122"/>
      <c r="U258" s="26">
        <f t="shared" si="288"/>
        <v>92575</v>
      </c>
      <c r="V258" s="122">
        <f t="shared" si="288"/>
        <v>1</v>
      </c>
      <c r="W258" s="122"/>
      <c r="X258" s="122">
        <f t="shared" si="293"/>
        <v>0</v>
      </c>
      <c r="Y258" s="122">
        <v>92575</v>
      </c>
      <c r="Z258" s="122">
        <f t="shared" si="289"/>
        <v>1</v>
      </c>
      <c r="AA258" s="122">
        <v>-92575</v>
      </c>
      <c r="AB258" s="122"/>
      <c r="AC258" s="26">
        <f t="shared" si="269"/>
        <v>0</v>
      </c>
      <c r="AD258" s="122">
        <f t="shared" si="269"/>
        <v>0</v>
      </c>
      <c r="AE258" s="122"/>
      <c r="AF258" s="122">
        <f t="shared" si="294"/>
        <v>0</v>
      </c>
      <c r="AG258" s="122"/>
      <c r="AH258" s="122">
        <f t="shared" si="291"/>
        <v>0</v>
      </c>
      <c r="AI258" s="122">
        <f t="shared" si="295"/>
        <v>0</v>
      </c>
      <c r="AJ258" s="122"/>
      <c r="AK258" s="122">
        <v>1</v>
      </c>
      <c r="AL258" s="122"/>
      <c r="AM258" s="122"/>
      <c r="AN258" s="122">
        <f t="shared" si="265"/>
        <v>-317211</v>
      </c>
      <c r="AO258" s="122"/>
      <c r="AP258" s="122">
        <f t="shared" si="296"/>
        <v>92575</v>
      </c>
      <c r="AQ258" s="122"/>
      <c r="AR258" s="34">
        <f t="shared" si="268"/>
        <v>317211</v>
      </c>
      <c r="AS258" s="10">
        <f t="shared" si="268"/>
        <v>1</v>
      </c>
      <c r="AT258" s="10"/>
      <c r="AU258" s="10">
        <f t="shared" si="302"/>
        <v>0</v>
      </c>
      <c r="AV258" s="10">
        <f>257211+60000</f>
        <v>317211</v>
      </c>
      <c r="AW258" s="10">
        <f t="shared" si="303"/>
        <v>1</v>
      </c>
      <c r="AX258" s="10">
        <f t="shared" si="297"/>
        <v>79302.75</v>
      </c>
      <c r="AY258" s="10">
        <v>1</v>
      </c>
      <c r="AZ258" s="10"/>
      <c r="BA258" s="10"/>
      <c r="BB258" s="10"/>
      <c r="BC258" s="10"/>
      <c r="BD258" s="10"/>
      <c r="BE258" s="26"/>
      <c r="BF258" s="122"/>
      <c r="BG258" s="122"/>
      <c r="BH258" s="122"/>
      <c r="BI258" s="122"/>
      <c r="BJ258" s="122"/>
      <c r="BK258" s="122"/>
      <c r="BL258" s="122"/>
      <c r="BM258" s="122"/>
      <c r="BN258" s="122" t="s">
        <v>1859</v>
      </c>
      <c r="BO258" s="122" t="s">
        <v>1883</v>
      </c>
      <c r="BP258" s="122" t="s">
        <v>1889</v>
      </c>
      <c r="BQ258" s="122" t="s">
        <v>1890</v>
      </c>
      <c r="BR258" s="122" t="s">
        <v>1891</v>
      </c>
      <c r="BS258" s="122" t="s">
        <v>1892</v>
      </c>
      <c r="BT258" s="55" t="s">
        <v>1893</v>
      </c>
    </row>
    <row r="259" spans="1:77" ht="57" hidden="1" customHeight="1" outlineLevel="1" x14ac:dyDescent="0.25">
      <c r="A259" s="124"/>
      <c r="B259" s="125"/>
      <c r="C259" s="122" t="s">
        <v>1841</v>
      </c>
      <c r="D259" s="122" t="s">
        <v>1842</v>
      </c>
      <c r="E259" s="122" t="s">
        <v>10</v>
      </c>
      <c r="F259" s="122">
        <v>374081</v>
      </c>
      <c r="G259" s="122">
        <v>370929</v>
      </c>
      <c r="H259" s="122"/>
      <c r="I259" s="122"/>
      <c r="J259" s="122"/>
      <c r="K259" s="122"/>
      <c r="L259" s="122"/>
      <c r="M259" s="122"/>
      <c r="N259" s="122">
        <f t="shared" si="301"/>
        <v>0</v>
      </c>
      <c r="O259" s="122"/>
      <c r="P259" s="122"/>
      <c r="Q259" s="26"/>
      <c r="R259" s="122"/>
      <c r="S259" s="122"/>
      <c r="T259" s="122"/>
      <c r="U259" s="26">
        <f t="shared" si="288"/>
        <v>110000</v>
      </c>
      <c r="V259" s="122">
        <f t="shared" si="288"/>
        <v>1</v>
      </c>
      <c r="W259" s="122"/>
      <c r="X259" s="122">
        <f t="shared" si="293"/>
        <v>0</v>
      </c>
      <c r="Y259" s="122">
        <v>110000</v>
      </c>
      <c r="Z259" s="122">
        <f t="shared" si="289"/>
        <v>1</v>
      </c>
      <c r="AA259" s="122">
        <v>-110000</v>
      </c>
      <c r="AB259" s="122"/>
      <c r="AC259" s="26">
        <f t="shared" si="269"/>
        <v>0</v>
      </c>
      <c r="AD259" s="122">
        <f t="shared" si="269"/>
        <v>0</v>
      </c>
      <c r="AE259" s="122"/>
      <c r="AF259" s="122">
        <f t="shared" si="294"/>
        <v>0</v>
      </c>
      <c r="AG259" s="122"/>
      <c r="AH259" s="122">
        <f t="shared" si="291"/>
        <v>0</v>
      </c>
      <c r="AI259" s="122">
        <f t="shared" si="295"/>
        <v>0</v>
      </c>
      <c r="AJ259" s="122"/>
      <c r="AK259" s="122">
        <v>1</v>
      </c>
      <c r="AL259" s="122"/>
      <c r="AM259" s="122"/>
      <c r="AN259" s="122">
        <f t="shared" si="265"/>
        <v>-296743</v>
      </c>
      <c r="AO259" s="122"/>
      <c r="AP259" s="122">
        <f t="shared" si="296"/>
        <v>110000</v>
      </c>
      <c r="AQ259" s="122"/>
      <c r="AR259" s="34">
        <f t="shared" si="268"/>
        <v>296743</v>
      </c>
      <c r="AS259" s="10">
        <f t="shared" si="268"/>
        <v>1</v>
      </c>
      <c r="AT259" s="10"/>
      <c r="AU259" s="10">
        <f t="shared" si="302"/>
        <v>0</v>
      </c>
      <c r="AV259" s="10">
        <f>186743+110000</f>
        <v>296743</v>
      </c>
      <c r="AW259" s="10">
        <f t="shared" si="303"/>
        <v>1</v>
      </c>
      <c r="AX259" s="10">
        <f t="shared" si="297"/>
        <v>74185.75</v>
      </c>
      <c r="AY259" s="10">
        <v>1</v>
      </c>
      <c r="AZ259" s="10"/>
      <c r="BA259" s="10"/>
      <c r="BB259" s="10"/>
      <c r="BC259" s="10"/>
      <c r="BD259" s="10"/>
      <c r="BE259" s="26"/>
      <c r="BF259" s="122"/>
      <c r="BG259" s="122"/>
      <c r="BH259" s="122"/>
      <c r="BI259" s="122"/>
      <c r="BJ259" s="122"/>
      <c r="BK259" s="122"/>
      <c r="BL259" s="122"/>
      <c r="BM259" s="122"/>
      <c r="BN259" s="122" t="s">
        <v>1860</v>
      </c>
      <c r="BO259" s="122" t="s">
        <v>1883</v>
      </c>
      <c r="BP259" s="122" t="s">
        <v>1894</v>
      </c>
      <c r="BQ259" s="122" t="s">
        <v>1895</v>
      </c>
      <c r="BR259" s="122" t="s">
        <v>1896</v>
      </c>
      <c r="BS259" s="122" t="s">
        <v>1897</v>
      </c>
      <c r="BT259" s="55" t="s">
        <v>1898</v>
      </c>
    </row>
    <row r="260" spans="1:77" ht="57" hidden="1" customHeight="1" outlineLevel="1" x14ac:dyDescent="0.25">
      <c r="A260" s="124"/>
      <c r="B260" s="125"/>
      <c r="C260" s="122" t="s">
        <v>1843</v>
      </c>
      <c r="D260" s="122" t="s">
        <v>1844</v>
      </c>
      <c r="E260" s="122" t="s">
        <v>10</v>
      </c>
      <c r="F260" s="122">
        <v>415468</v>
      </c>
      <c r="G260" s="122">
        <v>408124</v>
      </c>
      <c r="H260" s="122"/>
      <c r="I260" s="122"/>
      <c r="J260" s="122"/>
      <c r="K260" s="122"/>
      <c r="L260" s="122"/>
      <c r="M260" s="122"/>
      <c r="N260" s="122">
        <f t="shared" si="301"/>
        <v>0</v>
      </c>
      <c r="O260" s="122"/>
      <c r="P260" s="122"/>
      <c r="Q260" s="26"/>
      <c r="R260" s="122"/>
      <c r="S260" s="122"/>
      <c r="T260" s="122"/>
      <c r="U260" s="26">
        <f t="shared" si="288"/>
        <v>120000</v>
      </c>
      <c r="V260" s="122">
        <f t="shared" si="288"/>
        <v>1</v>
      </c>
      <c r="W260" s="122"/>
      <c r="X260" s="122">
        <f t="shared" si="293"/>
        <v>0</v>
      </c>
      <c r="Y260" s="122">
        <v>120000</v>
      </c>
      <c r="Z260" s="122">
        <f t="shared" si="289"/>
        <v>1</v>
      </c>
      <c r="AA260" s="122">
        <v>-120000</v>
      </c>
      <c r="AB260" s="122"/>
      <c r="AC260" s="26">
        <f t="shared" si="269"/>
        <v>0</v>
      </c>
      <c r="AD260" s="122">
        <f t="shared" si="269"/>
        <v>0</v>
      </c>
      <c r="AE260" s="122"/>
      <c r="AF260" s="122">
        <f t="shared" si="294"/>
        <v>0</v>
      </c>
      <c r="AG260" s="122"/>
      <c r="AH260" s="122">
        <f t="shared" si="291"/>
        <v>0</v>
      </c>
      <c r="AI260" s="122">
        <f t="shared" si="295"/>
        <v>0</v>
      </c>
      <c r="AJ260" s="122"/>
      <c r="AK260" s="122">
        <v>1</v>
      </c>
      <c r="AL260" s="122"/>
      <c r="AM260" s="122"/>
      <c r="AN260" s="122">
        <f t="shared" si="265"/>
        <v>0</v>
      </c>
      <c r="AO260" s="122"/>
      <c r="AP260" s="122">
        <f t="shared" si="296"/>
        <v>120000</v>
      </c>
      <c r="AQ260" s="122"/>
      <c r="AR260" s="34">
        <f t="shared" si="268"/>
        <v>0</v>
      </c>
      <c r="AS260" s="10">
        <f t="shared" si="268"/>
        <v>0</v>
      </c>
      <c r="AT260" s="10"/>
      <c r="AU260" s="10">
        <f t="shared" si="302"/>
        <v>0</v>
      </c>
      <c r="AV260" s="10"/>
      <c r="AW260" s="10">
        <f t="shared" si="303"/>
        <v>0</v>
      </c>
      <c r="AX260" s="10">
        <f t="shared" si="297"/>
        <v>0</v>
      </c>
      <c r="AY260" s="10">
        <v>1</v>
      </c>
      <c r="AZ260" s="10"/>
      <c r="BA260" s="10"/>
      <c r="BB260" s="10"/>
      <c r="BC260" s="10"/>
      <c r="BD260" s="10"/>
      <c r="BE260" s="26"/>
      <c r="BF260" s="122"/>
      <c r="BG260" s="122"/>
      <c r="BH260" s="122"/>
      <c r="BI260" s="122"/>
      <c r="BJ260" s="122"/>
      <c r="BK260" s="122"/>
      <c r="BL260" s="122"/>
      <c r="BM260" s="122"/>
      <c r="BN260" s="122" t="s">
        <v>1861</v>
      </c>
      <c r="BO260" s="122" t="s">
        <v>1899</v>
      </c>
      <c r="BP260" s="122" t="s">
        <v>1900</v>
      </c>
      <c r="BQ260" s="122" t="s">
        <v>1901</v>
      </c>
      <c r="BR260" s="122" t="s">
        <v>1902</v>
      </c>
      <c r="BS260" s="122" t="s">
        <v>1903</v>
      </c>
      <c r="BT260" s="55" t="s">
        <v>1904</v>
      </c>
    </row>
    <row r="261" spans="1:77" ht="57" hidden="1" customHeight="1" outlineLevel="1" x14ac:dyDescent="0.25">
      <c r="A261" s="124"/>
      <c r="B261" s="125"/>
      <c r="C261" s="122" t="s">
        <v>1845</v>
      </c>
      <c r="D261" s="122" t="s">
        <v>1846</v>
      </c>
      <c r="E261" s="122" t="s">
        <v>10</v>
      </c>
      <c r="F261" s="122">
        <v>349986</v>
      </c>
      <c r="G261" s="122">
        <v>343706</v>
      </c>
      <c r="H261" s="122"/>
      <c r="I261" s="122"/>
      <c r="J261" s="122"/>
      <c r="K261" s="122"/>
      <c r="L261" s="122"/>
      <c r="M261" s="122"/>
      <c r="N261" s="122">
        <f t="shared" si="301"/>
        <v>0</v>
      </c>
      <c r="O261" s="122"/>
      <c r="P261" s="122"/>
      <c r="Q261" s="26"/>
      <c r="R261" s="122"/>
      <c r="S261" s="122"/>
      <c r="T261" s="122"/>
      <c r="U261" s="26">
        <f t="shared" si="288"/>
        <v>100000</v>
      </c>
      <c r="V261" s="122">
        <f t="shared" si="288"/>
        <v>1</v>
      </c>
      <c r="W261" s="122"/>
      <c r="X261" s="122">
        <f t="shared" si="293"/>
        <v>0</v>
      </c>
      <c r="Y261" s="122">
        <v>100000</v>
      </c>
      <c r="Z261" s="122">
        <f t="shared" si="289"/>
        <v>1</v>
      </c>
      <c r="AA261" s="122">
        <v>-100000</v>
      </c>
      <c r="AB261" s="122"/>
      <c r="AC261" s="26">
        <f t="shared" si="269"/>
        <v>0</v>
      </c>
      <c r="AD261" s="122">
        <f t="shared" si="269"/>
        <v>0</v>
      </c>
      <c r="AE261" s="122"/>
      <c r="AF261" s="122">
        <f t="shared" si="294"/>
        <v>0</v>
      </c>
      <c r="AG261" s="122"/>
      <c r="AH261" s="122">
        <f t="shared" si="291"/>
        <v>0</v>
      </c>
      <c r="AI261" s="122">
        <f t="shared" si="295"/>
        <v>0</v>
      </c>
      <c r="AJ261" s="122"/>
      <c r="AK261" s="122">
        <v>1</v>
      </c>
      <c r="AL261" s="122"/>
      <c r="AM261" s="122"/>
      <c r="AN261" s="122">
        <f t="shared" si="265"/>
        <v>-274965</v>
      </c>
      <c r="AO261" s="122"/>
      <c r="AP261" s="122">
        <f t="shared" si="296"/>
        <v>100000</v>
      </c>
      <c r="AQ261" s="122"/>
      <c r="AR261" s="34">
        <f t="shared" si="268"/>
        <v>274965</v>
      </c>
      <c r="AS261" s="10">
        <f t="shared" si="268"/>
        <v>1</v>
      </c>
      <c r="AT261" s="10"/>
      <c r="AU261" s="10">
        <f t="shared" si="302"/>
        <v>0</v>
      </c>
      <c r="AV261" s="10">
        <f>174965+100000</f>
        <v>274965</v>
      </c>
      <c r="AW261" s="10">
        <f t="shared" si="303"/>
        <v>1</v>
      </c>
      <c r="AX261" s="10">
        <f t="shared" si="297"/>
        <v>68741.25</v>
      </c>
      <c r="AY261" s="10">
        <v>1</v>
      </c>
      <c r="AZ261" s="10"/>
      <c r="BA261" s="10"/>
      <c r="BB261" s="10"/>
      <c r="BC261" s="10"/>
      <c r="BD261" s="10"/>
      <c r="BE261" s="26"/>
      <c r="BF261" s="122"/>
      <c r="BG261" s="122"/>
      <c r="BH261" s="122"/>
      <c r="BI261" s="122"/>
      <c r="BJ261" s="122"/>
      <c r="BK261" s="122"/>
      <c r="BL261" s="122"/>
      <c r="BM261" s="122"/>
      <c r="BN261" s="122" t="s">
        <v>1862</v>
      </c>
      <c r="BO261" s="122" t="s">
        <v>1905</v>
      </c>
      <c r="BP261" s="122" t="s">
        <v>1906</v>
      </c>
      <c r="BQ261" s="122" t="s">
        <v>1907</v>
      </c>
      <c r="BR261" s="122" t="s">
        <v>1908</v>
      </c>
      <c r="BS261" s="122" t="s">
        <v>1909</v>
      </c>
      <c r="BT261" s="55" t="s">
        <v>1910</v>
      </c>
    </row>
    <row r="262" spans="1:77" ht="57" hidden="1" customHeight="1" outlineLevel="1" x14ac:dyDescent="0.25">
      <c r="A262" s="124"/>
      <c r="B262" s="125"/>
      <c r="C262" s="122" t="s">
        <v>1847</v>
      </c>
      <c r="D262" s="122" t="s">
        <v>1848</v>
      </c>
      <c r="E262" s="122" t="s">
        <v>10</v>
      </c>
      <c r="F262" s="122">
        <v>299575</v>
      </c>
      <c r="G262" s="122">
        <v>293523</v>
      </c>
      <c r="H262" s="122"/>
      <c r="I262" s="122"/>
      <c r="J262" s="122"/>
      <c r="K262" s="122"/>
      <c r="L262" s="122"/>
      <c r="M262" s="122"/>
      <c r="N262" s="122">
        <f t="shared" si="301"/>
        <v>0</v>
      </c>
      <c r="O262" s="122"/>
      <c r="P262" s="122"/>
      <c r="Q262" s="26"/>
      <c r="R262" s="122"/>
      <c r="S262" s="122"/>
      <c r="T262" s="122"/>
      <c r="U262" s="26">
        <f t="shared" si="288"/>
        <v>100000</v>
      </c>
      <c r="V262" s="122">
        <f t="shared" si="288"/>
        <v>1</v>
      </c>
      <c r="W262" s="122"/>
      <c r="X262" s="122">
        <f t="shared" si="293"/>
        <v>0</v>
      </c>
      <c r="Y262" s="122">
        <v>100000</v>
      </c>
      <c r="Z262" s="122">
        <f t="shared" si="289"/>
        <v>1</v>
      </c>
      <c r="AA262" s="122">
        <v>-100000</v>
      </c>
      <c r="AB262" s="122"/>
      <c r="AC262" s="26">
        <f t="shared" si="269"/>
        <v>0</v>
      </c>
      <c r="AD262" s="122">
        <f t="shared" si="269"/>
        <v>0</v>
      </c>
      <c r="AE262" s="122"/>
      <c r="AF262" s="122">
        <f t="shared" si="294"/>
        <v>0</v>
      </c>
      <c r="AG262" s="122"/>
      <c r="AH262" s="122">
        <f t="shared" si="291"/>
        <v>0</v>
      </c>
      <c r="AI262" s="122">
        <f t="shared" si="295"/>
        <v>0</v>
      </c>
      <c r="AJ262" s="122"/>
      <c r="AK262" s="122">
        <v>1</v>
      </c>
      <c r="AL262" s="122"/>
      <c r="AM262" s="122"/>
      <c r="AN262" s="122">
        <f t="shared" si="265"/>
        <v>-234818</v>
      </c>
      <c r="AO262" s="122"/>
      <c r="AP262" s="122">
        <f t="shared" si="296"/>
        <v>100000</v>
      </c>
      <c r="AQ262" s="122"/>
      <c r="AR262" s="34">
        <f t="shared" si="268"/>
        <v>234818</v>
      </c>
      <c r="AS262" s="10">
        <f t="shared" si="268"/>
        <v>1</v>
      </c>
      <c r="AT262" s="10"/>
      <c r="AU262" s="10">
        <f t="shared" si="302"/>
        <v>0</v>
      </c>
      <c r="AV262" s="10">
        <f>184818+50000</f>
        <v>234818</v>
      </c>
      <c r="AW262" s="10">
        <f t="shared" si="303"/>
        <v>1</v>
      </c>
      <c r="AX262" s="10">
        <f t="shared" si="297"/>
        <v>58704.5</v>
      </c>
      <c r="AY262" s="10">
        <v>1</v>
      </c>
      <c r="AZ262" s="10"/>
      <c r="BA262" s="10"/>
      <c r="BB262" s="10"/>
      <c r="BC262" s="10"/>
      <c r="BD262" s="10"/>
      <c r="BE262" s="26"/>
      <c r="BF262" s="122"/>
      <c r="BG262" s="122"/>
      <c r="BH262" s="122"/>
      <c r="BI262" s="122"/>
      <c r="BJ262" s="122"/>
      <c r="BK262" s="122"/>
      <c r="BL262" s="122"/>
      <c r="BM262" s="122"/>
      <c r="BN262" s="122" t="s">
        <v>1863</v>
      </c>
      <c r="BO262" s="122" t="s">
        <v>1905</v>
      </c>
      <c r="BP262" s="122" t="s">
        <v>1894</v>
      </c>
      <c r="BQ262" s="122" t="s">
        <v>1911</v>
      </c>
      <c r="BR262" s="122" t="s">
        <v>1912</v>
      </c>
      <c r="BS262" s="122" t="s">
        <v>1913</v>
      </c>
      <c r="BT262" s="55" t="s">
        <v>1914</v>
      </c>
    </row>
    <row r="263" spans="1:77" ht="57" hidden="1" customHeight="1" outlineLevel="1" x14ac:dyDescent="0.25">
      <c r="A263" s="124"/>
      <c r="B263" s="125"/>
      <c r="C263" s="122" t="s">
        <v>1849</v>
      </c>
      <c r="D263" s="122" t="s">
        <v>1850</v>
      </c>
      <c r="E263" s="122" t="s">
        <v>10</v>
      </c>
      <c r="F263" s="122">
        <v>389720</v>
      </c>
      <c r="G263" s="122">
        <v>382990</v>
      </c>
      <c r="H263" s="122"/>
      <c r="I263" s="122"/>
      <c r="J263" s="122"/>
      <c r="K263" s="122"/>
      <c r="L263" s="122"/>
      <c r="M263" s="122"/>
      <c r="N263" s="122">
        <f t="shared" si="301"/>
        <v>0</v>
      </c>
      <c r="O263" s="122"/>
      <c r="P263" s="122"/>
      <c r="Q263" s="26"/>
      <c r="R263" s="122"/>
      <c r="S263" s="122"/>
      <c r="T263" s="122"/>
      <c r="U263" s="26">
        <f t="shared" si="288"/>
        <v>100000</v>
      </c>
      <c r="V263" s="122">
        <f t="shared" si="288"/>
        <v>1</v>
      </c>
      <c r="W263" s="122"/>
      <c r="X263" s="122">
        <f t="shared" si="293"/>
        <v>0</v>
      </c>
      <c r="Y263" s="122">
        <v>100000</v>
      </c>
      <c r="Z263" s="122">
        <f t="shared" si="289"/>
        <v>1</v>
      </c>
      <c r="AA263" s="122">
        <v>-100000</v>
      </c>
      <c r="AB263" s="122"/>
      <c r="AC263" s="26">
        <f t="shared" si="269"/>
        <v>0</v>
      </c>
      <c r="AD263" s="122">
        <f t="shared" si="269"/>
        <v>0</v>
      </c>
      <c r="AE263" s="122"/>
      <c r="AF263" s="122">
        <f t="shared" si="294"/>
        <v>0</v>
      </c>
      <c r="AG263" s="122"/>
      <c r="AH263" s="122">
        <f t="shared" si="291"/>
        <v>0</v>
      </c>
      <c r="AI263" s="122">
        <f t="shared" si="295"/>
        <v>0</v>
      </c>
      <c r="AJ263" s="122"/>
      <c r="AK263" s="122">
        <v>1</v>
      </c>
      <c r="AL263" s="122"/>
      <c r="AM263" s="122"/>
      <c r="AN263" s="122">
        <f t="shared" si="265"/>
        <v>-306392</v>
      </c>
      <c r="AO263" s="122"/>
      <c r="AP263" s="122">
        <f t="shared" si="296"/>
        <v>100000</v>
      </c>
      <c r="AQ263" s="122"/>
      <c r="AR263" s="34">
        <f t="shared" si="268"/>
        <v>306392</v>
      </c>
      <c r="AS263" s="10">
        <f t="shared" si="268"/>
        <v>1</v>
      </c>
      <c r="AT263" s="10"/>
      <c r="AU263" s="10">
        <f t="shared" si="302"/>
        <v>0</v>
      </c>
      <c r="AV263" s="10">
        <f>246392+60000</f>
        <v>306392</v>
      </c>
      <c r="AW263" s="10">
        <f t="shared" si="303"/>
        <v>1</v>
      </c>
      <c r="AX263" s="10">
        <f t="shared" si="297"/>
        <v>76598</v>
      </c>
      <c r="AY263" s="10">
        <v>1</v>
      </c>
      <c r="AZ263" s="10"/>
      <c r="BA263" s="10"/>
      <c r="BB263" s="10"/>
      <c r="BC263" s="10"/>
      <c r="BD263" s="10"/>
      <c r="BE263" s="26"/>
      <c r="BF263" s="122"/>
      <c r="BG263" s="122"/>
      <c r="BH263" s="122"/>
      <c r="BI263" s="122"/>
      <c r="BJ263" s="122"/>
      <c r="BK263" s="122"/>
      <c r="BL263" s="122"/>
      <c r="BM263" s="122"/>
      <c r="BN263" s="122" t="s">
        <v>1864</v>
      </c>
      <c r="BO263" s="122" t="s">
        <v>1915</v>
      </c>
      <c r="BP263" s="122" t="s">
        <v>1916</v>
      </c>
      <c r="BQ263" s="122" t="s">
        <v>1917</v>
      </c>
      <c r="BR263" s="122" t="s">
        <v>1918</v>
      </c>
      <c r="BS263" s="122" t="s">
        <v>1919</v>
      </c>
      <c r="BT263" s="55" t="s">
        <v>1920</v>
      </c>
    </row>
    <row r="264" spans="1:77" ht="57" hidden="1" customHeight="1" outlineLevel="1" x14ac:dyDescent="0.25">
      <c r="A264" s="124"/>
      <c r="B264" s="125"/>
      <c r="C264" s="122" t="s">
        <v>1851</v>
      </c>
      <c r="D264" s="122" t="s">
        <v>1852</v>
      </c>
      <c r="E264" s="122" t="s">
        <v>10</v>
      </c>
      <c r="F264" s="122">
        <v>492134</v>
      </c>
      <c r="G264" s="122">
        <v>486526</v>
      </c>
      <c r="H264" s="122"/>
      <c r="I264" s="122"/>
      <c r="J264" s="122"/>
      <c r="K264" s="122"/>
      <c r="L264" s="122"/>
      <c r="M264" s="122"/>
      <c r="N264" s="122">
        <f t="shared" si="301"/>
        <v>0</v>
      </c>
      <c r="O264" s="122"/>
      <c r="P264" s="122"/>
      <c r="Q264" s="26"/>
      <c r="R264" s="122"/>
      <c r="S264" s="122"/>
      <c r="T264" s="122"/>
      <c r="U264" s="26">
        <f t="shared" si="288"/>
        <v>150000</v>
      </c>
      <c r="V264" s="122">
        <f t="shared" si="288"/>
        <v>1</v>
      </c>
      <c r="W264" s="122"/>
      <c r="X264" s="122">
        <f t="shared" si="293"/>
        <v>0</v>
      </c>
      <c r="Y264" s="122">
        <v>150000</v>
      </c>
      <c r="Z264" s="122">
        <f t="shared" si="289"/>
        <v>1</v>
      </c>
      <c r="AA264" s="122">
        <v>-150000</v>
      </c>
      <c r="AB264" s="122"/>
      <c r="AC264" s="26">
        <f t="shared" si="269"/>
        <v>0</v>
      </c>
      <c r="AD264" s="122">
        <f t="shared" si="269"/>
        <v>0</v>
      </c>
      <c r="AE264" s="122"/>
      <c r="AF264" s="122">
        <f t="shared" si="294"/>
        <v>0</v>
      </c>
      <c r="AG264" s="122"/>
      <c r="AH264" s="122">
        <f t="shared" si="291"/>
        <v>0</v>
      </c>
      <c r="AI264" s="122">
        <f t="shared" si="295"/>
        <v>0</v>
      </c>
      <c r="AJ264" s="122"/>
      <c r="AK264" s="122">
        <v>1</v>
      </c>
      <c r="AL264" s="122"/>
      <c r="AM264" s="122"/>
      <c r="AN264" s="122">
        <f t="shared" si="265"/>
        <v>-389221</v>
      </c>
      <c r="AO264" s="122"/>
      <c r="AP264" s="122">
        <f t="shared" si="296"/>
        <v>150000</v>
      </c>
      <c r="AQ264" s="122"/>
      <c r="AR264" s="34">
        <f t="shared" si="268"/>
        <v>389221</v>
      </c>
      <c r="AS264" s="10">
        <f t="shared" si="268"/>
        <v>1</v>
      </c>
      <c r="AT264" s="10"/>
      <c r="AU264" s="10">
        <f t="shared" si="302"/>
        <v>0</v>
      </c>
      <c r="AV264" s="10">
        <f>329221+60000</f>
        <v>389221</v>
      </c>
      <c r="AW264" s="10">
        <f t="shared" si="303"/>
        <v>1</v>
      </c>
      <c r="AX264" s="10">
        <f t="shared" si="297"/>
        <v>97305.25</v>
      </c>
      <c r="AY264" s="10">
        <v>1</v>
      </c>
      <c r="AZ264" s="10"/>
      <c r="BA264" s="10"/>
      <c r="BB264" s="10"/>
      <c r="BC264" s="10"/>
      <c r="BD264" s="10"/>
      <c r="BE264" s="26"/>
      <c r="BF264" s="122"/>
      <c r="BG264" s="122"/>
      <c r="BH264" s="122"/>
      <c r="BI264" s="122"/>
      <c r="BJ264" s="122"/>
      <c r="BK264" s="122"/>
      <c r="BL264" s="122"/>
      <c r="BM264" s="122"/>
      <c r="BN264" s="122" t="s">
        <v>1865</v>
      </c>
      <c r="BO264" s="122" t="s">
        <v>1883</v>
      </c>
      <c r="BP264" s="122" t="s">
        <v>1921</v>
      </c>
      <c r="BQ264" s="122" t="s">
        <v>1922</v>
      </c>
      <c r="BR264" s="122" t="s">
        <v>1923</v>
      </c>
      <c r="BS264" s="122" t="s">
        <v>1924</v>
      </c>
      <c r="BT264" s="55" t="s">
        <v>1925</v>
      </c>
    </row>
    <row r="265" spans="1:77" ht="57" hidden="1" customHeight="1" outlineLevel="1" x14ac:dyDescent="0.25">
      <c r="A265" s="124"/>
      <c r="B265" s="125"/>
      <c r="C265" s="122" t="s">
        <v>1853</v>
      </c>
      <c r="D265" s="122" t="s">
        <v>1854</v>
      </c>
      <c r="E265" s="122" t="s">
        <v>10</v>
      </c>
      <c r="F265" s="122">
        <v>463695</v>
      </c>
      <c r="G265" s="122">
        <v>454838</v>
      </c>
      <c r="H265" s="122"/>
      <c r="I265" s="122"/>
      <c r="J265" s="122"/>
      <c r="K265" s="122"/>
      <c r="L265" s="122"/>
      <c r="M265" s="122"/>
      <c r="N265" s="122">
        <f t="shared" si="301"/>
        <v>0</v>
      </c>
      <c r="O265" s="122"/>
      <c r="P265" s="122"/>
      <c r="Q265" s="26"/>
      <c r="R265" s="122"/>
      <c r="S265" s="122"/>
      <c r="T265" s="122"/>
      <c r="U265" s="26">
        <f t="shared" si="288"/>
        <v>150000</v>
      </c>
      <c r="V265" s="122">
        <f t="shared" si="288"/>
        <v>1</v>
      </c>
      <c r="W265" s="122"/>
      <c r="X265" s="122">
        <f t="shared" si="293"/>
        <v>0</v>
      </c>
      <c r="Y265" s="122">
        <v>150000</v>
      </c>
      <c r="Z265" s="122">
        <f t="shared" si="289"/>
        <v>1</v>
      </c>
      <c r="AA265" s="122">
        <v>-150000</v>
      </c>
      <c r="AB265" s="122"/>
      <c r="AC265" s="26">
        <f t="shared" si="269"/>
        <v>0</v>
      </c>
      <c r="AD265" s="122">
        <f t="shared" si="269"/>
        <v>0</v>
      </c>
      <c r="AE265" s="122"/>
      <c r="AF265" s="122">
        <f t="shared" si="294"/>
        <v>0</v>
      </c>
      <c r="AG265" s="122"/>
      <c r="AH265" s="122">
        <f t="shared" si="291"/>
        <v>0</v>
      </c>
      <c r="AI265" s="122">
        <f t="shared" si="295"/>
        <v>0</v>
      </c>
      <c r="AJ265" s="122"/>
      <c r="AK265" s="122">
        <v>1</v>
      </c>
      <c r="AL265" s="122"/>
      <c r="AM265" s="122"/>
      <c r="AN265" s="122">
        <f t="shared" si="265"/>
        <v>-363870</v>
      </c>
      <c r="AO265" s="122"/>
      <c r="AP265" s="122">
        <f t="shared" si="296"/>
        <v>150000</v>
      </c>
      <c r="AQ265" s="122"/>
      <c r="AR265" s="34">
        <f t="shared" si="268"/>
        <v>363870</v>
      </c>
      <c r="AS265" s="10">
        <f t="shared" si="268"/>
        <v>1</v>
      </c>
      <c r="AT265" s="10"/>
      <c r="AU265" s="10">
        <f t="shared" si="302"/>
        <v>0</v>
      </c>
      <c r="AV265" s="10">
        <f>213870+150000</f>
        <v>363870</v>
      </c>
      <c r="AW265" s="10">
        <f t="shared" si="303"/>
        <v>1</v>
      </c>
      <c r="AX265" s="10">
        <f t="shared" si="297"/>
        <v>90967.5</v>
      </c>
      <c r="AY265" s="10">
        <v>1</v>
      </c>
      <c r="AZ265" s="10"/>
      <c r="BA265" s="10"/>
      <c r="BB265" s="10"/>
      <c r="BC265" s="10"/>
      <c r="BD265" s="10"/>
      <c r="BE265" s="26"/>
      <c r="BF265" s="122"/>
      <c r="BG265" s="122"/>
      <c r="BH265" s="122"/>
      <c r="BI265" s="122"/>
      <c r="BJ265" s="122"/>
      <c r="BK265" s="122"/>
      <c r="BL265" s="122"/>
      <c r="BM265" s="122"/>
      <c r="BN265" s="122" t="s">
        <v>1866</v>
      </c>
      <c r="BO265" s="122" t="s">
        <v>1883</v>
      </c>
      <c r="BP265" s="122" t="s">
        <v>1926</v>
      </c>
      <c r="BQ265" s="122" t="s">
        <v>1927</v>
      </c>
      <c r="BR265" s="122" t="s">
        <v>1928</v>
      </c>
      <c r="BS265" s="122" t="s">
        <v>1929</v>
      </c>
      <c r="BT265" s="55" t="s">
        <v>1930</v>
      </c>
    </row>
    <row r="266" spans="1:77" ht="11.25" hidden="1" outlineLevel="1" x14ac:dyDescent="0.25">
      <c r="A266" s="124"/>
      <c r="B266" s="59">
        <v>4</v>
      </c>
      <c r="C266" s="122" t="s">
        <v>8</v>
      </c>
      <c r="D266" s="122"/>
      <c r="E266" s="122"/>
      <c r="F266" s="122">
        <f>F267+F268+F269+F270</f>
        <v>3287304.6</v>
      </c>
      <c r="G266" s="122">
        <f t="shared" ref="G266:BM266" si="304">G267+G268+G269+G270</f>
        <v>3192405</v>
      </c>
      <c r="H266" s="122"/>
      <c r="I266" s="122"/>
      <c r="J266" s="122"/>
      <c r="K266" s="122"/>
      <c r="L266" s="122"/>
      <c r="M266" s="122">
        <f t="shared" si="304"/>
        <v>0</v>
      </c>
      <c r="N266" s="122">
        <f t="shared" si="304"/>
        <v>0</v>
      </c>
      <c r="O266" s="122">
        <v>1256059</v>
      </c>
      <c r="P266" s="122">
        <v>3</v>
      </c>
      <c r="Q266" s="26">
        <v>450000</v>
      </c>
      <c r="R266" s="122">
        <v>2</v>
      </c>
      <c r="S266" s="122">
        <f t="shared" si="261"/>
        <v>450000</v>
      </c>
      <c r="T266" s="122"/>
      <c r="U266" s="26">
        <f t="shared" si="304"/>
        <v>450000</v>
      </c>
      <c r="V266" s="67">
        <f t="shared" si="304"/>
        <v>2</v>
      </c>
      <c r="W266" s="67">
        <f t="shared" si="304"/>
        <v>0</v>
      </c>
      <c r="X266" s="67">
        <f t="shared" si="304"/>
        <v>0</v>
      </c>
      <c r="Y266" s="67">
        <f t="shared" si="304"/>
        <v>450000</v>
      </c>
      <c r="Z266" s="67">
        <f t="shared" si="304"/>
        <v>2</v>
      </c>
      <c r="AA266" s="67">
        <f t="shared" si="304"/>
        <v>-450000</v>
      </c>
      <c r="AB266" s="67">
        <f t="shared" si="304"/>
        <v>0</v>
      </c>
      <c r="AC266" s="26">
        <f t="shared" si="304"/>
        <v>0</v>
      </c>
      <c r="AD266" s="122">
        <f t="shared" si="304"/>
        <v>0</v>
      </c>
      <c r="AE266" s="122">
        <f t="shared" si="304"/>
        <v>0</v>
      </c>
      <c r="AF266" s="122">
        <f t="shared" si="304"/>
        <v>0</v>
      </c>
      <c r="AG266" s="122">
        <f>AG267+AG268+AG269+AG270</f>
        <v>0</v>
      </c>
      <c r="AH266" s="122">
        <f t="shared" si="304"/>
        <v>0</v>
      </c>
      <c r="AI266" s="122">
        <f t="shared" si="304"/>
        <v>0</v>
      </c>
      <c r="AJ266" s="122">
        <f t="shared" si="304"/>
        <v>0</v>
      </c>
      <c r="AK266" s="122">
        <f t="shared" si="304"/>
        <v>2</v>
      </c>
      <c r="AL266" s="122">
        <f t="shared" si="304"/>
        <v>1641994</v>
      </c>
      <c r="AM266" s="122">
        <f t="shared" si="304"/>
        <v>4</v>
      </c>
      <c r="AN266" s="122">
        <f t="shared" si="304"/>
        <v>-450000</v>
      </c>
      <c r="AO266" s="122">
        <f t="shared" si="304"/>
        <v>0</v>
      </c>
      <c r="AP266" s="122">
        <f t="shared" si="304"/>
        <v>450000</v>
      </c>
      <c r="AQ266" s="122">
        <f t="shared" si="304"/>
        <v>0</v>
      </c>
      <c r="AR266" s="26">
        <f t="shared" si="304"/>
        <v>2091994</v>
      </c>
      <c r="AS266" s="122">
        <f t="shared" si="304"/>
        <v>3</v>
      </c>
      <c r="AT266" s="122">
        <f t="shared" si="304"/>
        <v>609039</v>
      </c>
      <c r="AU266" s="122">
        <f t="shared" si="304"/>
        <v>2</v>
      </c>
      <c r="AV266" s="122">
        <f t="shared" si="304"/>
        <v>1482955</v>
      </c>
      <c r="AW266" s="122">
        <f t="shared" si="304"/>
        <v>1</v>
      </c>
      <c r="AX266" s="122">
        <f>AX267+AX268+AX269+AX270</f>
        <v>450980</v>
      </c>
      <c r="AY266" s="122">
        <f t="shared" si="304"/>
        <v>4</v>
      </c>
      <c r="AZ266" s="122">
        <f t="shared" si="304"/>
        <v>0</v>
      </c>
      <c r="BA266" s="122">
        <v>0</v>
      </c>
      <c r="BB266" s="122">
        <v>0</v>
      </c>
      <c r="BC266" s="10">
        <f t="shared" si="266"/>
        <v>0</v>
      </c>
      <c r="BD266" s="122"/>
      <c r="BE266" s="26">
        <f t="shared" si="304"/>
        <v>0</v>
      </c>
      <c r="BF266" s="122">
        <f t="shared" si="304"/>
        <v>0</v>
      </c>
      <c r="BG266" s="122">
        <f t="shared" si="304"/>
        <v>0</v>
      </c>
      <c r="BH266" s="122">
        <f t="shared" si="304"/>
        <v>0</v>
      </c>
      <c r="BI266" s="122">
        <f t="shared" si="304"/>
        <v>0</v>
      </c>
      <c r="BJ266" s="122">
        <f t="shared" si="304"/>
        <v>0</v>
      </c>
      <c r="BK266" s="122">
        <f t="shared" si="304"/>
        <v>0</v>
      </c>
      <c r="BL266" s="122">
        <f t="shared" si="304"/>
        <v>0</v>
      </c>
      <c r="BM266" s="122">
        <f t="shared" si="304"/>
        <v>0</v>
      </c>
      <c r="BN266" s="122"/>
      <c r="BO266" s="122"/>
      <c r="BP266" s="122"/>
      <c r="BQ266" s="122"/>
      <c r="BR266" s="122"/>
      <c r="BS266" s="122"/>
      <c r="BT266" s="55"/>
    </row>
    <row r="267" spans="1:77" ht="48" hidden="1" customHeight="1" outlineLevel="1" x14ac:dyDescent="0.25">
      <c r="A267" s="124"/>
      <c r="B267" s="59">
        <v>1</v>
      </c>
      <c r="C267" s="122" t="s">
        <v>545</v>
      </c>
      <c r="D267" s="122" t="s">
        <v>557</v>
      </c>
      <c r="E267" s="122">
        <v>2016</v>
      </c>
      <c r="F267" s="122">
        <v>477484</v>
      </c>
      <c r="G267" s="122">
        <v>464122</v>
      </c>
      <c r="H267" s="122"/>
      <c r="I267" s="122"/>
      <c r="J267" s="122"/>
      <c r="K267" s="122"/>
      <c r="L267" s="122"/>
      <c r="M267" s="122">
        <v>0</v>
      </c>
      <c r="N267" s="122">
        <f>AC267+AI267</f>
        <v>0</v>
      </c>
      <c r="O267" s="122">
        <v>185649</v>
      </c>
      <c r="P267" s="122">
        <v>1</v>
      </c>
      <c r="Q267" s="26">
        <v>0</v>
      </c>
      <c r="R267" s="122">
        <v>0</v>
      </c>
      <c r="S267" s="122">
        <f t="shared" si="261"/>
        <v>0</v>
      </c>
      <c r="T267" s="122"/>
      <c r="U267" s="26">
        <f t="shared" ref="U267:V270" si="305">W267+Y267</f>
        <v>0</v>
      </c>
      <c r="V267" s="122">
        <f t="shared" si="305"/>
        <v>0</v>
      </c>
      <c r="W267" s="122"/>
      <c r="X267" s="122">
        <f t="shared" ref="X267:X269" si="306">IF(W267,1,0)</f>
        <v>0</v>
      </c>
      <c r="Y267" s="122">
        <v>0</v>
      </c>
      <c r="Z267" s="122">
        <f t="shared" ref="Z267:Z270" si="307">IF(Y267,1,0)</f>
        <v>0</v>
      </c>
      <c r="AA267" s="122">
        <v>0</v>
      </c>
      <c r="AB267" s="122"/>
      <c r="AC267" s="26">
        <f t="shared" si="269"/>
        <v>0</v>
      </c>
      <c r="AD267" s="122">
        <f t="shared" si="269"/>
        <v>0</v>
      </c>
      <c r="AE267" s="122"/>
      <c r="AF267" s="122">
        <f t="shared" ref="AF267:AF269" si="308">IF(AE267,1,0)</f>
        <v>0</v>
      </c>
      <c r="AG267" s="122">
        <v>0</v>
      </c>
      <c r="AH267" s="122">
        <f t="shared" ref="AH267:AH270" si="309">IF(AG267,1,0)</f>
        <v>0</v>
      </c>
      <c r="AI267" s="122">
        <f>AC267/0.8*0.2</f>
        <v>0</v>
      </c>
      <c r="AJ267" s="122"/>
      <c r="AK267" s="122"/>
      <c r="AL267" s="122">
        <v>159368</v>
      </c>
      <c r="AM267" s="122">
        <v>1</v>
      </c>
      <c r="AN267" s="122">
        <f t="shared" si="265"/>
        <v>0</v>
      </c>
      <c r="AO267" s="122"/>
      <c r="AP267" s="122">
        <f t="shared" si="296"/>
        <v>0</v>
      </c>
      <c r="AQ267" s="122"/>
      <c r="AR267" s="34">
        <f t="shared" si="268"/>
        <v>159368</v>
      </c>
      <c r="AS267" s="10">
        <v>1</v>
      </c>
      <c r="AT267" s="10">
        <v>159368</v>
      </c>
      <c r="AU267" s="10">
        <v>1</v>
      </c>
      <c r="AV267" s="10"/>
      <c r="AW267" s="10">
        <v>0</v>
      </c>
      <c r="AX267" s="10">
        <v>30324</v>
      </c>
      <c r="AY267" s="10">
        <v>1</v>
      </c>
      <c r="AZ267" s="10"/>
      <c r="BA267" s="10">
        <v>0</v>
      </c>
      <c r="BB267" s="10">
        <v>0</v>
      </c>
      <c r="BC267" s="10">
        <f t="shared" si="266"/>
        <v>0</v>
      </c>
      <c r="BD267" s="10"/>
      <c r="BE267" s="26">
        <f t="shared" si="298"/>
        <v>0</v>
      </c>
      <c r="BF267" s="122">
        <f t="shared" si="298"/>
        <v>0</v>
      </c>
      <c r="BG267" s="122"/>
      <c r="BH267" s="122">
        <f t="shared" si="299"/>
        <v>0</v>
      </c>
      <c r="BI267" s="122"/>
      <c r="BJ267" s="122">
        <f t="shared" si="300"/>
        <v>0</v>
      </c>
      <c r="BK267" s="122"/>
      <c r="BL267" s="122"/>
      <c r="BM267" s="122"/>
      <c r="BN267" s="122" t="s">
        <v>558</v>
      </c>
      <c r="BO267" s="122" t="s">
        <v>1693</v>
      </c>
      <c r="BP267" s="122" t="s">
        <v>560</v>
      </c>
      <c r="BQ267" s="122" t="s">
        <v>559</v>
      </c>
      <c r="BR267" s="122" t="s">
        <v>1300</v>
      </c>
      <c r="BS267" s="122" t="s">
        <v>1694</v>
      </c>
      <c r="BT267" s="55" t="s">
        <v>1546</v>
      </c>
    </row>
    <row r="268" spans="1:77" ht="35.25" hidden="1" customHeight="1" outlineLevel="1" x14ac:dyDescent="0.25">
      <c r="A268" s="124"/>
      <c r="B268" s="59">
        <v>2</v>
      </c>
      <c r="C268" s="122" t="s">
        <v>546</v>
      </c>
      <c r="D268" s="122" t="s">
        <v>567</v>
      </c>
      <c r="E268" s="122">
        <v>2016</v>
      </c>
      <c r="F268" s="122">
        <v>907128.6</v>
      </c>
      <c r="G268" s="122">
        <v>874589</v>
      </c>
      <c r="H268" s="122"/>
      <c r="I268" s="122"/>
      <c r="J268" s="122"/>
      <c r="K268" s="122"/>
      <c r="L268" s="122"/>
      <c r="M268" s="122">
        <v>0</v>
      </c>
      <c r="N268" s="122">
        <f t="shared" ref="N268:N270" si="310">AC268+AI268</f>
        <v>0</v>
      </c>
      <c r="O268" s="122">
        <v>699671</v>
      </c>
      <c r="P268" s="122">
        <v>1</v>
      </c>
      <c r="Q268" s="26">
        <v>0</v>
      </c>
      <c r="R268" s="122">
        <v>0</v>
      </c>
      <c r="S268" s="122">
        <f t="shared" si="261"/>
        <v>0</v>
      </c>
      <c r="T268" s="122"/>
      <c r="U268" s="26">
        <f t="shared" si="305"/>
        <v>0</v>
      </c>
      <c r="V268" s="122">
        <f t="shared" si="305"/>
        <v>0</v>
      </c>
      <c r="W268" s="122"/>
      <c r="X268" s="122">
        <f t="shared" si="306"/>
        <v>0</v>
      </c>
      <c r="Y268" s="122">
        <v>0</v>
      </c>
      <c r="Z268" s="122">
        <f t="shared" si="307"/>
        <v>0</v>
      </c>
      <c r="AA268" s="122">
        <v>0</v>
      </c>
      <c r="AB268" s="122"/>
      <c r="AC268" s="26">
        <f t="shared" si="269"/>
        <v>0</v>
      </c>
      <c r="AD268" s="122">
        <f t="shared" si="269"/>
        <v>0</v>
      </c>
      <c r="AE268" s="122"/>
      <c r="AF268" s="122">
        <f t="shared" si="308"/>
        <v>0</v>
      </c>
      <c r="AG268" s="122">
        <v>0</v>
      </c>
      <c r="AH268" s="122">
        <f t="shared" si="309"/>
        <v>0</v>
      </c>
      <c r="AI268" s="122">
        <f>AC268/0.8*0.2</f>
        <v>0</v>
      </c>
      <c r="AJ268" s="122"/>
      <c r="AK268" s="122"/>
      <c r="AL268" s="122">
        <v>449671</v>
      </c>
      <c r="AM268" s="122">
        <v>1</v>
      </c>
      <c r="AN268" s="122">
        <f t="shared" si="265"/>
        <v>0</v>
      </c>
      <c r="AO268" s="122"/>
      <c r="AP268" s="122">
        <f t="shared" si="296"/>
        <v>0</v>
      </c>
      <c r="AQ268" s="122"/>
      <c r="AR268" s="34">
        <f t="shared" si="268"/>
        <v>449671</v>
      </c>
      <c r="AS268" s="10">
        <f t="shared" si="268"/>
        <v>1</v>
      </c>
      <c r="AT268" s="10">
        <v>449671</v>
      </c>
      <c r="AU268" s="10">
        <f t="shared" si="302"/>
        <v>1</v>
      </c>
      <c r="AV268" s="10"/>
      <c r="AW268" s="10">
        <f t="shared" si="303"/>
        <v>0</v>
      </c>
      <c r="AX268" s="10">
        <f>AR268/0.8*0.2</f>
        <v>112417.75</v>
      </c>
      <c r="AY268" s="10">
        <v>1</v>
      </c>
      <c r="AZ268" s="10"/>
      <c r="BA268" s="10">
        <v>0</v>
      </c>
      <c r="BB268" s="10">
        <v>0</v>
      </c>
      <c r="BC268" s="10">
        <f t="shared" si="266"/>
        <v>0</v>
      </c>
      <c r="BD268" s="10"/>
      <c r="BE268" s="26">
        <f t="shared" si="298"/>
        <v>0</v>
      </c>
      <c r="BF268" s="122">
        <f t="shared" si="298"/>
        <v>0</v>
      </c>
      <c r="BG268" s="122"/>
      <c r="BH268" s="122">
        <f t="shared" si="299"/>
        <v>0</v>
      </c>
      <c r="BI268" s="122"/>
      <c r="BJ268" s="122">
        <f t="shared" si="300"/>
        <v>0</v>
      </c>
      <c r="BK268" s="122"/>
      <c r="BL268" s="122"/>
      <c r="BM268" s="122"/>
      <c r="BN268" s="122" t="s">
        <v>568</v>
      </c>
      <c r="BO268" s="122" t="s">
        <v>1693</v>
      </c>
      <c r="BP268" s="122" t="s">
        <v>571</v>
      </c>
      <c r="BQ268" s="122" t="s">
        <v>570</v>
      </c>
      <c r="BR268" s="122" t="s">
        <v>569</v>
      </c>
      <c r="BS268" s="122" t="s">
        <v>572</v>
      </c>
      <c r="BT268" s="55" t="s">
        <v>1547</v>
      </c>
    </row>
    <row r="269" spans="1:77" ht="36.75" hidden="1" customHeight="1" outlineLevel="1" x14ac:dyDescent="0.25">
      <c r="A269" s="124"/>
      <c r="B269" s="59">
        <v>3</v>
      </c>
      <c r="C269" s="122" t="s">
        <v>1827</v>
      </c>
      <c r="D269" s="122" t="s">
        <v>561</v>
      </c>
      <c r="E269" s="122" t="s">
        <v>10</v>
      </c>
      <c r="F269" s="122">
        <v>951346</v>
      </c>
      <c r="G269" s="122">
        <v>926847</v>
      </c>
      <c r="H269" s="122"/>
      <c r="I269" s="122"/>
      <c r="J269" s="122"/>
      <c r="K269" s="122"/>
      <c r="L269" s="122"/>
      <c r="M269" s="122">
        <v>0</v>
      </c>
      <c r="N269" s="122">
        <f t="shared" si="310"/>
        <v>0</v>
      </c>
      <c r="O269" s="122">
        <v>370739</v>
      </c>
      <c r="P269" s="122">
        <v>1</v>
      </c>
      <c r="Q269" s="26">
        <v>250000</v>
      </c>
      <c r="R269" s="122">
        <v>1</v>
      </c>
      <c r="S269" s="122">
        <f t="shared" si="261"/>
        <v>250000</v>
      </c>
      <c r="T269" s="122"/>
      <c r="U269" s="26">
        <f t="shared" si="305"/>
        <v>250000</v>
      </c>
      <c r="V269" s="122">
        <f t="shared" si="305"/>
        <v>1</v>
      </c>
      <c r="W269" s="122"/>
      <c r="X269" s="122">
        <f t="shared" si="306"/>
        <v>0</v>
      </c>
      <c r="Y269" s="122">
        <v>250000</v>
      </c>
      <c r="Z269" s="122">
        <f t="shared" si="307"/>
        <v>1</v>
      </c>
      <c r="AA269" s="122">
        <v>-250000</v>
      </c>
      <c r="AB269" s="122"/>
      <c r="AC269" s="26">
        <f t="shared" si="269"/>
        <v>0</v>
      </c>
      <c r="AD269" s="122">
        <f t="shared" si="269"/>
        <v>0</v>
      </c>
      <c r="AE269" s="122"/>
      <c r="AF269" s="122">
        <f t="shared" si="308"/>
        <v>0</v>
      </c>
      <c r="AG269" s="122"/>
      <c r="AH269" s="122">
        <f t="shared" si="309"/>
        <v>0</v>
      </c>
      <c r="AI269" s="122">
        <f>AG269/0.8*0.2</f>
        <v>0</v>
      </c>
      <c r="AJ269" s="122"/>
      <c r="AK269" s="122">
        <v>1</v>
      </c>
      <c r="AL269" s="122">
        <v>491478</v>
      </c>
      <c r="AM269" s="122">
        <v>1</v>
      </c>
      <c r="AN269" s="122">
        <f t="shared" si="265"/>
        <v>-250000</v>
      </c>
      <c r="AO269" s="122"/>
      <c r="AP269" s="122">
        <f t="shared" si="296"/>
        <v>250000</v>
      </c>
      <c r="AQ269" s="122"/>
      <c r="AR269" s="34">
        <f t="shared" si="268"/>
        <v>741478</v>
      </c>
      <c r="AS269" s="10">
        <f t="shared" si="268"/>
        <v>1</v>
      </c>
      <c r="AT269" s="10"/>
      <c r="AU269" s="10">
        <f t="shared" si="302"/>
        <v>0</v>
      </c>
      <c r="AV269" s="10">
        <f>491478+250000</f>
        <v>741478</v>
      </c>
      <c r="AW269" s="10">
        <f t="shared" si="303"/>
        <v>1</v>
      </c>
      <c r="AX269" s="10">
        <v>122869</v>
      </c>
      <c r="AY269" s="10">
        <v>1</v>
      </c>
      <c r="AZ269" s="10"/>
      <c r="BA269" s="10">
        <v>0</v>
      </c>
      <c r="BB269" s="10">
        <v>0</v>
      </c>
      <c r="BC269" s="10">
        <f t="shared" si="266"/>
        <v>0</v>
      </c>
      <c r="BD269" s="10"/>
      <c r="BE269" s="26">
        <f t="shared" si="298"/>
        <v>0</v>
      </c>
      <c r="BF269" s="122">
        <f t="shared" si="298"/>
        <v>0</v>
      </c>
      <c r="BG269" s="122"/>
      <c r="BH269" s="122">
        <f t="shared" si="299"/>
        <v>0</v>
      </c>
      <c r="BI269" s="122"/>
      <c r="BJ269" s="122">
        <f t="shared" si="300"/>
        <v>0</v>
      </c>
      <c r="BK269" s="122"/>
      <c r="BL269" s="122"/>
      <c r="BM269" s="122"/>
      <c r="BN269" s="122" t="s">
        <v>566</v>
      </c>
      <c r="BO269" s="122" t="s">
        <v>1693</v>
      </c>
      <c r="BP269" s="122" t="s">
        <v>564</v>
      </c>
      <c r="BQ269" s="122" t="s">
        <v>563</v>
      </c>
      <c r="BR269" s="122" t="s">
        <v>562</v>
      </c>
      <c r="BS269" s="122" t="s">
        <v>565</v>
      </c>
      <c r="BT269" s="55" t="s">
        <v>1548</v>
      </c>
    </row>
    <row r="270" spans="1:77" ht="56.25" hidden="1" customHeight="1" outlineLevel="1" x14ac:dyDescent="0.25">
      <c r="A270" s="124"/>
      <c r="B270" s="59">
        <v>4</v>
      </c>
      <c r="C270" s="122" t="s">
        <v>1431</v>
      </c>
      <c r="D270" s="122" t="s">
        <v>1723</v>
      </c>
      <c r="E270" s="122">
        <v>2016</v>
      </c>
      <c r="F270" s="122">
        <v>951346</v>
      </c>
      <c r="G270" s="122">
        <v>926847</v>
      </c>
      <c r="H270" s="122"/>
      <c r="I270" s="122"/>
      <c r="J270" s="122"/>
      <c r="K270" s="122"/>
      <c r="L270" s="122"/>
      <c r="M270" s="122">
        <v>0</v>
      </c>
      <c r="N270" s="122">
        <f t="shared" si="310"/>
        <v>0</v>
      </c>
      <c r="O270" s="122"/>
      <c r="P270" s="122"/>
      <c r="Q270" s="26">
        <v>200000</v>
      </c>
      <c r="R270" s="122">
        <v>1</v>
      </c>
      <c r="S270" s="122">
        <f t="shared" si="261"/>
        <v>200000</v>
      </c>
      <c r="T270" s="122"/>
      <c r="U270" s="26">
        <f t="shared" si="305"/>
        <v>200000</v>
      </c>
      <c r="V270" s="122">
        <f t="shared" si="305"/>
        <v>1</v>
      </c>
      <c r="W270" s="122"/>
      <c r="X270" s="122"/>
      <c r="Y270" s="122">
        <v>200000</v>
      </c>
      <c r="Z270" s="122">
        <f t="shared" si="307"/>
        <v>1</v>
      </c>
      <c r="AA270" s="122">
        <v>-200000</v>
      </c>
      <c r="AB270" s="122"/>
      <c r="AC270" s="26">
        <f t="shared" si="269"/>
        <v>0</v>
      </c>
      <c r="AD270" s="122">
        <f t="shared" si="269"/>
        <v>0</v>
      </c>
      <c r="AE270" s="122"/>
      <c r="AF270" s="122"/>
      <c r="AG270" s="122"/>
      <c r="AH270" s="122">
        <f t="shared" si="309"/>
        <v>0</v>
      </c>
      <c r="AI270" s="122">
        <f>AC270/0.8*0.2</f>
        <v>0</v>
      </c>
      <c r="AJ270" s="122"/>
      <c r="AK270" s="122">
        <v>1</v>
      </c>
      <c r="AL270" s="122">
        <v>541477</v>
      </c>
      <c r="AM270" s="122">
        <v>1</v>
      </c>
      <c r="AN270" s="122">
        <f t="shared" si="265"/>
        <v>-200000</v>
      </c>
      <c r="AO270" s="122"/>
      <c r="AP270" s="122">
        <f t="shared" si="296"/>
        <v>200000</v>
      </c>
      <c r="AQ270" s="122"/>
      <c r="AR270" s="34">
        <f t="shared" si="268"/>
        <v>741477</v>
      </c>
      <c r="AS270" s="10">
        <f t="shared" si="268"/>
        <v>0</v>
      </c>
      <c r="AT270" s="10"/>
      <c r="AU270" s="10">
        <f t="shared" si="302"/>
        <v>0</v>
      </c>
      <c r="AV270" s="10">
        <f>541477+200000</f>
        <v>741477</v>
      </c>
      <c r="AW270" s="10"/>
      <c r="AX270" s="10">
        <f>AR270/0.8*0.2</f>
        <v>185369.25</v>
      </c>
      <c r="AY270" s="10">
        <v>1</v>
      </c>
      <c r="AZ270" s="10"/>
      <c r="BA270" s="10">
        <v>0</v>
      </c>
      <c r="BB270" s="10"/>
      <c r="BC270" s="10">
        <f t="shared" si="266"/>
        <v>0</v>
      </c>
      <c r="BD270" s="10"/>
      <c r="BE270" s="26">
        <f t="shared" si="298"/>
        <v>0</v>
      </c>
      <c r="BF270" s="122"/>
      <c r="BG270" s="122"/>
      <c r="BH270" s="122"/>
      <c r="BI270" s="122"/>
      <c r="BJ270" s="122"/>
      <c r="BK270" s="122">
        <f>BE270/0.8*0.2</f>
        <v>0</v>
      </c>
      <c r="BL270" s="122"/>
      <c r="BM270" s="122"/>
      <c r="BN270" s="122" t="s">
        <v>1749</v>
      </c>
      <c r="BO270" s="122" t="s">
        <v>1693</v>
      </c>
      <c r="BP270" s="122" t="s">
        <v>1750</v>
      </c>
      <c r="BQ270" s="122" t="s">
        <v>1751</v>
      </c>
      <c r="BR270" s="122" t="s">
        <v>1752</v>
      </c>
      <c r="BS270" s="122" t="s">
        <v>1753</v>
      </c>
      <c r="BT270" s="55" t="s">
        <v>1754</v>
      </c>
    </row>
    <row r="271" spans="1:77" s="35" customFormat="1" ht="22.5" collapsed="1" x14ac:dyDescent="0.25">
      <c r="A271" s="48"/>
      <c r="B271" s="57">
        <v>45</v>
      </c>
      <c r="C271" s="26" t="s">
        <v>542</v>
      </c>
      <c r="D271" s="26"/>
      <c r="E271" s="26"/>
      <c r="F271" s="26">
        <f>F272</f>
        <v>8700080.7569999993</v>
      </c>
      <c r="G271" s="26">
        <f t="shared" ref="G271:BT271" si="311">G272</f>
        <v>8446298.9570000023</v>
      </c>
      <c r="H271" s="26"/>
      <c r="I271" s="26"/>
      <c r="J271" s="26"/>
      <c r="K271" s="26"/>
      <c r="L271" s="26"/>
      <c r="M271" s="26">
        <f t="shared" si="311"/>
        <v>2651184</v>
      </c>
      <c r="N271" s="26">
        <f t="shared" si="311"/>
        <v>2429998.8888888895</v>
      </c>
      <c r="O271" s="26">
        <v>5528037</v>
      </c>
      <c r="P271" s="26">
        <v>61</v>
      </c>
      <c r="Q271" s="26">
        <v>3122256</v>
      </c>
      <c r="R271" s="26">
        <v>36</v>
      </c>
      <c r="S271" s="26">
        <f t="shared" si="311"/>
        <v>937257</v>
      </c>
      <c r="T271" s="26">
        <f t="shared" si="311"/>
        <v>0</v>
      </c>
      <c r="U271" s="26">
        <f t="shared" si="311"/>
        <v>2954159</v>
      </c>
      <c r="V271" s="26">
        <f t="shared" si="311"/>
        <v>36</v>
      </c>
      <c r="W271" s="26">
        <f t="shared" si="311"/>
        <v>2124999</v>
      </c>
      <c r="X271" s="26">
        <f t="shared" si="311"/>
        <v>29</v>
      </c>
      <c r="Y271" s="26">
        <f t="shared" si="311"/>
        <v>829160</v>
      </c>
      <c r="Z271" s="26">
        <f t="shared" si="311"/>
        <v>7</v>
      </c>
      <c r="AA271" s="26">
        <f t="shared" si="311"/>
        <v>-829160</v>
      </c>
      <c r="AB271" s="26">
        <f t="shared" si="311"/>
        <v>62000</v>
      </c>
      <c r="AC271" s="26">
        <f t="shared" si="311"/>
        <v>2186999</v>
      </c>
      <c r="AD271" s="26">
        <f t="shared" si="269"/>
        <v>31</v>
      </c>
      <c r="AE271" s="26">
        <f t="shared" si="311"/>
        <v>2186999</v>
      </c>
      <c r="AF271" s="26">
        <f t="shared" si="311"/>
        <v>31</v>
      </c>
      <c r="AG271" s="26">
        <f t="shared" si="311"/>
        <v>0</v>
      </c>
      <c r="AH271" s="26">
        <f t="shared" si="311"/>
        <v>0</v>
      </c>
      <c r="AI271" s="26">
        <f t="shared" si="311"/>
        <v>242999.88888888891</v>
      </c>
      <c r="AJ271" s="67">
        <f t="shared" si="311"/>
        <v>32</v>
      </c>
      <c r="AK271" s="67">
        <f t="shared" si="311"/>
        <v>4</v>
      </c>
      <c r="AL271" s="67">
        <f t="shared" si="311"/>
        <v>2047656</v>
      </c>
      <c r="AM271" s="67">
        <f t="shared" si="311"/>
        <v>13</v>
      </c>
      <c r="AN271" s="67">
        <f t="shared" si="311"/>
        <v>-891160</v>
      </c>
      <c r="AO271" s="67">
        <f t="shared" si="311"/>
        <v>0</v>
      </c>
      <c r="AP271" s="67">
        <f t="shared" si="311"/>
        <v>767160</v>
      </c>
      <c r="AQ271" s="67">
        <f t="shared" si="311"/>
        <v>0</v>
      </c>
      <c r="AR271" s="26">
        <f t="shared" si="311"/>
        <v>2938816</v>
      </c>
      <c r="AS271" s="67">
        <f t="shared" si="311"/>
        <v>21</v>
      </c>
      <c r="AT271" s="26">
        <f t="shared" si="311"/>
        <v>62000</v>
      </c>
      <c r="AU271" s="26">
        <f t="shared" si="311"/>
        <v>5</v>
      </c>
      <c r="AV271" s="26">
        <f t="shared" si="311"/>
        <v>2876816</v>
      </c>
      <c r="AW271" s="26">
        <f t="shared" si="311"/>
        <v>16</v>
      </c>
      <c r="AX271" s="26">
        <f t="shared" si="311"/>
        <v>326535.11111111107</v>
      </c>
      <c r="AY271" s="26">
        <f t="shared" si="311"/>
        <v>13</v>
      </c>
      <c r="AZ271" s="26">
        <f t="shared" si="311"/>
        <v>0</v>
      </c>
      <c r="BA271" s="26">
        <v>0</v>
      </c>
      <c r="BB271" s="26">
        <v>0</v>
      </c>
      <c r="BC271" s="10">
        <f t="shared" si="266"/>
        <v>0</v>
      </c>
      <c r="BD271" s="26"/>
      <c r="BE271" s="26">
        <f t="shared" si="311"/>
        <v>0</v>
      </c>
      <c r="BF271" s="67">
        <f t="shared" si="311"/>
        <v>0</v>
      </c>
      <c r="BG271" s="26">
        <f t="shared" si="311"/>
        <v>0</v>
      </c>
      <c r="BH271" s="26">
        <f t="shared" si="311"/>
        <v>0</v>
      </c>
      <c r="BI271" s="26">
        <f t="shared" si="311"/>
        <v>0</v>
      </c>
      <c r="BJ271" s="26">
        <f t="shared" si="311"/>
        <v>0</v>
      </c>
      <c r="BK271" s="26">
        <f t="shared" si="311"/>
        <v>0</v>
      </c>
      <c r="BL271" s="26">
        <f t="shared" si="311"/>
        <v>0</v>
      </c>
      <c r="BM271" s="26">
        <f t="shared" si="311"/>
        <v>0</v>
      </c>
      <c r="BN271" s="26">
        <f t="shared" si="311"/>
        <v>0</v>
      </c>
      <c r="BO271" s="26">
        <f t="shared" si="311"/>
        <v>0</v>
      </c>
      <c r="BP271" s="26">
        <f t="shared" si="311"/>
        <v>0</v>
      </c>
      <c r="BQ271" s="26">
        <f t="shared" si="311"/>
        <v>0</v>
      </c>
      <c r="BR271" s="26">
        <f t="shared" si="311"/>
        <v>0</v>
      </c>
      <c r="BS271" s="26">
        <f t="shared" si="311"/>
        <v>0</v>
      </c>
      <c r="BT271" s="58">
        <f t="shared" si="311"/>
        <v>0</v>
      </c>
      <c r="BU271" s="25"/>
      <c r="BV271" s="25"/>
      <c r="BW271" s="25"/>
      <c r="BX271" s="25"/>
      <c r="BY271" s="25"/>
    </row>
    <row r="272" spans="1:77" ht="11.25" hidden="1" outlineLevel="1" x14ac:dyDescent="0.25">
      <c r="A272" s="124"/>
      <c r="B272" s="59">
        <v>45</v>
      </c>
      <c r="C272" s="122" t="s">
        <v>198</v>
      </c>
      <c r="D272" s="122"/>
      <c r="E272" s="122"/>
      <c r="F272" s="122">
        <f>SUM(F273:F319)</f>
        <v>8700080.7569999993</v>
      </c>
      <c r="G272" s="122">
        <f>SUM(G273:G319)</f>
        <v>8446298.9570000023</v>
      </c>
      <c r="H272" s="122"/>
      <c r="I272" s="122"/>
      <c r="J272" s="122"/>
      <c r="K272" s="122"/>
      <c r="L272" s="122"/>
      <c r="M272" s="122">
        <f>SUM(M273:M319)</f>
        <v>2651184</v>
      </c>
      <c r="N272" s="122">
        <f>SUM(N273:N319)</f>
        <v>2429998.8888888895</v>
      </c>
      <c r="O272" s="122">
        <v>5528037</v>
      </c>
      <c r="P272" s="122">
        <v>61</v>
      </c>
      <c r="Q272" s="26">
        <v>3122256</v>
      </c>
      <c r="R272" s="122">
        <v>36</v>
      </c>
      <c r="S272" s="26">
        <f t="shared" ref="S272:AZ272" si="312">SUM(S273:S319)</f>
        <v>937257</v>
      </c>
      <c r="T272" s="26">
        <f t="shared" si="312"/>
        <v>0</v>
      </c>
      <c r="U272" s="26">
        <f t="shared" si="312"/>
        <v>2954159</v>
      </c>
      <c r="V272" s="67">
        <f t="shared" si="312"/>
        <v>36</v>
      </c>
      <c r="W272" s="67">
        <f t="shared" si="312"/>
        <v>2124999</v>
      </c>
      <c r="X272" s="67">
        <f t="shared" si="312"/>
        <v>29</v>
      </c>
      <c r="Y272" s="67">
        <f t="shared" si="312"/>
        <v>829160</v>
      </c>
      <c r="Z272" s="67">
        <f t="shared" si="312"/>
        <v>7</v>
      </c>
      <c r="AA272" s="67">
        <f t="shared" si="312"/>
        <v>-829160</v>
      </c>
      <c r="AB272" s="67">
        <f t="shared" si="312"/>
        <v>62000</v>
      </c>
      <c r="AC272" s="26">
        <f t="shared" si="312"/>
        <v>2186999</v>
      </c>
      <c r="AD272" s="122">
        <f t="shared" si="312"/>
        <v>29</v>
      </c>
      <c r="AE272" s="122">
        <f t="shared" si="312"/>
        <v>2186999</v>
      </c>
      <c r="AF272" s="122">
        <f t="shared" si="312"/>
        <v>31</v>
      </c>
      <c r="AG272" s="122">
        <f t="shared" si="312"/>
        <v>0</v>
      </c>
      <c r="AH272" s="122">
        <f t="shared" si="312"/>
        <v>0</v>
      </c>
      <c r="AI272" s="122">
        <f t="shared" si="312"/>
        <v>242999.88888888891</v>
      </c>
      <c r="AJ272" s="122">
        <f t="shared" si="312"/>
        <v>32</v>
      </c>
      <c r="AK272" s="122">
        <f t="shared" si="312"/>
        <v>4</v>
      </c>
      <c r="AL272" s="122">
        <f t="shared" si="312"/>
        <v>2047656</v>
      </c>
      <c r="AM272" s="122">
        <f t="shared" si="312"/>
        <v>13</v>
      </c>
      <c r="AN272" s="122">
        <f t="shared" si="312"/>
        <v>-891160</v>
      </c>
      <c r="AO272" s="122">
        <f t="shared" si="312"/>
        <v>0</v>
      </c>
      <c r="AP272" s="122">
        <f t="shared" si="312"/>
        <v>767160</v>
      </c>
      <c r="AQ272" s="122">
        <f t="shared" si="312"/>
        <v>0</v>
      </c>
      <c r="AR272" s="26">
        <f t="shared" si="312"/>
        <v>2938816</v>
      </c>
      <c r="AS272" s="122">
        <f t="shared" si="312"/>
        <v>21</v>
      </c>
      <c r="AT272" s="122">
        <f t="shared" si="312"/>
        <v>62000</v>
      </c>
      <c r="AU272" s="122">
        <f t="shared" si="312"/>
        <v>5</v>
      </c>
      <c r="AV272" s="122">
        <f t="shared" si="312"/>
        <v>2876816</v>
      </c>
      <c r="AW272" s="122">
        <f t="shared" si="312"/>
        <v>16</v>
      </c>
      <c r="AX272" s="122">
        <f t="shared" si="312"/>
        <v>326535.11111111107</v>
      </c>
      <c r="AY272" s="122">
        <f t="shared" si="312"/>
        <v>13</v>
      </c>
      <c r="AZ272" s="122">
        <f t="shared" si="312"/>
        <v>0</v>
      </c>
      <c r="BA272" s="122">
        <v>0</v>
      </c>
      <c r="BB272" s="122">
        <v>0</v>
      </c>
      <c r="BC272" s="10">
        <f t="shared" si="266"/>
        <v>0</v>
      </c>
      <c r="BD272" s="122"/>
      <c r="BE272" s="26">
        <f t="shared" ref="BE272:BT272" si="313">SUM(BE273:BE319)</f>
        <v>0</v>
      </c>
      <c r="BF272" s="122">
        <f t="shared" si="313"/>
        <v>0</v>
      </c>
      <c r="BG272" s="122">
        <f t="shared" si="313"/>
        <v>0</v>
      </c>
      <c r="BH272" s="122">
        <f t="shared" si="313"/>
        <v>0</v>
      </c>
      <c r="BI272" s="122">
        <f t="shared" si="313"/>
        <v>0</v>
      </c>
      <c r="BJ272" s="122">
        <f t="shared" si="313"/>
        <v>0</v>
      </c>
      <c r="BK272" s="122">
        <f t="shared" si="313"/>
        <v>0</v>
      </c>
      <c r="BL272" s="122">
        <f t="shared" si="313"/>
        <v>0</v>
      </c>
      <c r="BM272" s="122">
        <f t="shared" si="313"/>
        <v>0</v>
      </c>
      <c r="BN272" s="122">
        <f t="shared" si="313"/>
        <v>0</v>
      </c>
      <c r="BO272" s="122">
        <f t="shared" si="313"/>
        <v>0</v>
      </c>
      <c r="BP272" s="122">
        <f t="shared" si="313"/>
        <v>0</v>
      </c>
      <c r="BQ272" s="122">
        <f t="shared" si="313"/>
        <v>0</v>
      </c>
      <c r="BR272" s="122">
        <f t="shared" si="313"/>
        <v>0</v>
      </c>
      <c r="BS272" s="122">
        <f t="shared" si="313"/>
        <v>0</v>
      </c>
      <c r="BT272" s="55">
        <f t="shared" si="313"/>
        <v>0</v>
      </c>
    </row>
    <row r="273" spans="1:72" ht="41.25" hidden="1" customHeight="1" outlineLevel="1" x14ac:dyDescent="0.25">
      <c r="A273" s="124"/>
      <c r="B273" s="59">
        <v>1</v>
      </c>
      <c r="C273" s="122" t="s">
        <v>195</v>
      </c>
      <c r="D273" s="122" t="s">
        <v>574</v>
      </c>
      <c r="E273" s="122" t="s">
        <v>9</v>
      </c>
      <c r="F273" s="122">
        <v>276650</v>
      </c>
      <c r="G273" s="122">
        <v>241220</v>
      </c>
      <c r="H273" s="122">
        <v>228415</v>
      </c>
      <c r="I273" s="122">
        <f t="shared" ref="I273:I301" si="314">G273-H273</f>
        <v>12805</v>
      </c>
      <c r="J273" s="122">
        <v>1</v>
      </c>
      <c r="K273" s="122">
        <v>1</v>
      </c>
      <c r="L273" s="122"/>
      <c r="M273" s="122">
        <v>153551</v>
      </c>
      <c r="N273" s="122">
        <f>AC273+AI273</f>
        <v>74863.333333333328</v>
      </c>
      <c r="O273" s="122">
        <v>95211</v>
      </c>
      <c r="P273" s="122">
        <v>1</v>
      </c>
      <c r="Q273" s="26">
        <v>95211</v>
      </c>
      <c r="R273" s="122">
        <v>1</v>
      </c>
      <c r="S273" s="122">
        <f t="shared" si="261"/>
        <v>27834</v>
      </c>
      <c r="T273" s="122"/>
      <c r="U273" s="26">
        <f t="shared" ref="U273:V301" si="315">W273+Y273</f>
        <v>67377</v>
      </c>
      <c r="V273" s="122">
        <f t="shared" si="315"/>
        <v>1</v>
      </c>
      <c r="W273" s="122">
        <v>67377</v>
      </c>
      <c r="X273" s="122">
        <f t="shared" ref="X273:X301" si="316">IF(W273,1,0)</f>
        <v>1</v>
      </c>
      <c r="Y273" s="122"/>
      <c r="Z273" s="122">
        <f t="shared" ref="Z273:Z301" si="317">IF(Y273,1,0)</f>
        <v>0</v>
      </c>
      <c r="AA273" s="122">
        <v>0</v>
      </c>
      <c r="AB273" s="122"/>
      <c r="AC273" s="26">
        <f t="shared" si="269"/>
        <v>67377</v>
      </c>
      <c r="AD273" s="122">
        <f t="shared" si="269"/>
        <v>1</v>
      </c>
      <c r="AE273" s="122">
        <v>67377</v>
      </c>
      <c r="AF273" s="122">
        <f t="shared" ref="AF273:AF319" si="318">IF(AE273,1,0)</f>
        <v>1</v>
      </c>
      <c r="AG273" s="122"/>
      <c r="AH273" s="122">
        <f t="shared" ref="AH273:AH319" si="319">IF(AG273,1,0)</f>
        <v>0</v>
      </c>
      <c r="AI273" s="122">
        <f>AC273/0.9*0.1</f>
        <v>7486.333333333333</v>
      </c>
      <c r="AJ273" s="122">
        <v>1</v>
      </c>
      <c r="AK273" s="122"/>
      <c r="AL273" s="122">
        <v>0</v>
      </c>
      <c r="AM273" s="122">
        <v>0</v>
      </c>
      <c r="AN273" s="122">
        <f t="shared" si="265"/>
        <v>0</v>
      </c>
      <c r="AO273" s="122"/>
      <c r="AP273" s="122">
        <f>U273-AC273</f>
        <v>0</v>
      </c>
      <c r="AQ273" s="122"/>
      <c r="AR273" s="34">
        <f t="shared" si="268"/>
        <v>0</v>
      </c>
      <c r="AS273" s="10">
        <v>0</v>
      </c>
      <c r="AT273" s="10">
        <v>0</v>
      </c>
      <c r="AU273" s="10"/>
      <c r="AV273" s="10">
        <v>0</v>
      </c>
      <c r="AW273" s="10">
        <v>0</v>
      </c>
      <c r="AX273" s="10">
        <f>AR273/0.9*0.1</f>
        <v>0</v>
      </c>
      <c r="AY273" s="10"/>
      <c r="AZ273" s="10"/>
      <c r="BA273" s="10">
        <v>0</v>
      </c>
      <c r="BB273" s="10">
        <v>0</v>
      </c>
      <c r="BC273" s="10">
        <f t="shared" si="266"/>
        <v>0</v>
      </c>
      <c r="BD273" s="10"/>
      <c r="BE273" s="26">
        <f t="shared" si="298"/>
        <v>0</v>
      </c>
      <c r="BF273" s="122">
        <f t="shared" si="298"/>
        <v>0</v>
      </c>
      <c r="BG273" s="122"/>
      <c r="BH273" s="122">
        <f t="shared" si="299"/>
        <v>0</v>
      </c>
      <c r="BI273" s="122"/>
      <c r="BJ273" s="122">
        <f t="shared" si="300"/>
        <v>0</v>
      </c>
      <c r="BK273" s="122"/>
      <c r="BL273" s="122"/>
      <c r="BM273" s="122"/>
      <c r="BN273" s="122" t="s">
        <v>576</v>
      </c>
      <c r="BO273" s="122" t="s">
        <v>1695</v>
      </c>
      <c r="BP273" s="122" t="s">
        <v>577</v>
      </c>
      <c r="BQ273" s="122" t="s">
        <v>578</v>
      </c>
      <c r="BR273" s="122" t="s">
        <v>579</v>
      </c>
      <c r="BS273" s="122" t="s">
        <v>575</v>
      </c>
      <c r="BT273" s="55" t="s">
        <v>11</v>
      </c>
    </row>
    <row r="274" spans="1:72" ht="73.5" hidden="1" customHeight="1" outlineLevel="1" x14ac:dyDescent="0.25">
      <c r="A274" s="124"/>
      <c r="B274" s="59">
        <v>2</v>
      </c>
      <c r="C274" s="122" t="s">
        <v>1306</v>
      </c>
      <c r="D274" s="122" t="s">
        <v>317</v>
      </c>
      <c r="E274" s="122" t="s">
        <v>9</v>
      </c>
      <c r="F274" s="122">
        <v>255456.9</v>
      </c>
      <c r="G274" s="122">
        <v>247007</v>
      </c>
      <c r="H274" s="122">
        <v>242720</v>
      </c>
      <c r="I274" s="122">
        <f t="shared" si="314"/>
        <v>4287</v>
      </c>
      <c r="J274" s="122">
        <v>1</v>
      </c>
      <c r="K274" s="122">
        <v>1</v>
      </c>
      <c r="L274" s="122"/>
      <c r="M274" s="122">
        <v>100000</v>
      </c>
      <c r="N274" s="122">
        <f t="shared" ref="N274:N319" si="320">AC274+AI274</f>
        <v>142720</v>
      </c>
      <c r="O274" s="122">
        <v>132306</v>
      </c>
      <c r="P274" s="122">
        <v>1</v>
      </c>
      <c r="Q274" s="26">
        <v>132306</v>
      </c>
      <c r="R274" s="122">
        <v>1</v>
      </c>
      <c r="S274" s="122">
        <f t="shared" si="261"/>
        <v>3858</v>
      </c>
      <c r="T274" s="122"/>
      <c r="U274" s="26">
        <f t="shared" si="315"/>
        <v>123448</v>
      </c>
      <c r="V274" s="122">
        <f t="shared" si="315"/>
        <v>1</v>
      </c>
      <c r="W274" s="122">
        <v>123448</v>
      </c>
      <c r="X274" s="122">
        <f t="shared" si="316"/>
        <v>1</v>
      </c>
      <c r="Y274" s="122"/>
      <c r="Z274" s="122">
        <f t="shared" si="317"/>
        <v>0</v>
      </c>
      <c r="AA274" s="122"/>
      <c r="AB274" s="122">
        <v>5000</v>
      </c>
      <c r="AC274" s="26">
        <f t="shared" si="269"/>
        <v>128448</v>
      </c>
      <c r="AD274" s="122">
        <f t="shared" si="269"/>
        <v>1</v>
      </c>
      <c r="AE274" s="122">
        <f>123448+5000</f>
        <v>128448</v>
      </c>
      <c r="AF274" s="122">
        <f t="shared" si="318"/>
        <v>1</v>
      </c>
      <c r="AG274" s="122"/>
      <c r="AH274" s="122">
        <f t="shared" si="319"/>
        <v>0</v>
      </c>
      <c r="AI274" s="122">
        <f t="shared" ref="AI274:AI319" si="321">AC274/0.9*0.1</f>
        <v>14272</v>
      </c>
      <c r="AJ274" s="122">
        <v>1</v>
      </c>
      <c r="AK274" s="122"/>
      <c r="AL274" s="122">
        <v>0</v>
      </c>
      <c r="AM274" s="122">
        <v>0</v>
      </c>
      <c r="AN274" s="122">
        <f t="shared" si="265"/>
        <v>-5000</v>
      </c>
      <c r="AO274" s="122"/>
      <c r="AP274" s="122">
        <f t="shared" ref="AP274:AP319" si="322">U274-AC274</f>
        <v>-5000</v>
      </c>
      <c r="AQ274" s="122"/>
      <c r="AR274" s="34">
        <f t="shared" si="268"/>
        <v>5000</v>
      </c>
      <c r="AS274" s="10">
        <f t="shared" si="268"/>
        <v>1</v>
      </c>
      <c r="AT274" s="10">
        <v>5000</v>
      </c>
      <c r="AU274" s="10">
        <f t="shared" si="302"/>
        <v>1</v>
      </c>
      <c r="AV274" s="10"/>
      <c r="AW274" s="10">
        <f t="shared" si="303"/>
        <v>0</v>
      </c>
      <c r="AX274" s="10">
        <f t="shared" ref="AX274:AX319" si="323">AR274/0.9*0.1</f>
        <v>555.55555555555554</v>
      </c>
      <c r="AY274" s="10"/>
      <c r="AZ274" s="10"/>
      <c r="BA274" s="10">
        <v>0</v>
      </c>
      <c r="BB274" s="10">
        <v>0</v>
      </c>
      <c r="BC274" s="10">
        <f t="shared" si="266"/>
        <v>0</v>
      </c>
      <c r="BD274" s="10"/>
      <c r="BE274" s="26">
        <f t="shared" si="298"/>
        <v>0</v>
      </c>
      <c r="BF274" s="122">
        <f t="shared" si="298"/>
        <v>0</v>
      </c>
      <c r="BG274" s="122"/>
      <c r="BH274" s="122">
        <f t="shared" si="299"/>
        <v>0</v>
      </c>
      <c r="BI274" s="122"/>
      <c r="BJ274" s="122">
        <f t="shared" si="300"/>
        <v>0</v>
      </c>
      <c r="BK274" s="122"/>
      <c r="BL274" s="122"/>
      <c r="BM274" s="122"/>
      <c r="BN274" s="122" t="s">
        <v>580</v>
      </c>
      <c r="BO274" s="122" t="s">
        <v>1696</v>
      </c>
      <c r="BP274" s="122" t="s">
        <v>581</v>
      </c>
      <c r="BQ274" s="122" t="s">
        <v>582</v>
      </c>
      <c r="BR274" s="122" t="s">
        <v>583</v>
      </c>
      <c r="BS274" s="122" t="s">
        <v>575</v>
      </c>
      <c r="BT274" s="55" t="s">
        <v>11</v>
      </c>
    </row>
    <row r="275" spans="1:72" ht="83.25" hidden="1" customHeight="1" outlineLevel="1" x14ac:dyDescent="0.25">
      <c r="A275" s="124"/>
      <c r="B275" s="59">
        <v>3</v>
      </c>
      <c r="C275" s="122" t="s">
        <v>1307</v>
      </c>
      <c r="D275" s="122" t="s">
        <v>318</v>
      </c>
      <c r="E275" s="122" t="s">
        <v>9</v>
      </c>
      <c r="F275" s="122">
        <v>256607</v>
      </c>
      <c r="G275" s="122">
        <v>247590</v>
      </c>
      <c r="H275" s="122">
        <v>241577</v>
      </c>
      <c r="I275" s="122">
        <f t="shared" si="314"/>
        <v>6013</v>
      </c>
      <c r="J275" s="122">
        <v>1</v>
      </c>
      <c r="K275" s="122">
        <v>1</v>
      </c>
      <c r="L275" s="122"/>
      <c r="M275" s="122">
        <v>120000</v>
      </c>
      <c r="N275" s="122">
        <f t="shared" si="320"/>
        <v>121576.66666666667</v>
      </c>
      <c r="O275" s="122">
        <v>114831</v>
      </c>
      <c r="P275" s="122">
        <v>1</v>
      </c>
      <c r="Q275" s="26">
        <v>114831</v>
      </c>
      <c r="R275" s="122">
        <v>1</v>
      </c>
      <c r="S275" s="122">
        <f t="shared" si="261"/>
        <v>5412</v>
      </c>
      <c r="T275" s="122"/>
      <c r="U275" s="26">
        <f t="shared" si="315"/>
        <v>104419</v>
      </c>
      <c r="V275" s="122">
        <f t="shared" si="315"/>
        <v>1</v>
      </c>
      <c r="W275" s="122">
        <v>104419</v>
      </c>
      <c r="X275" s="122">
        <f t="shared" si="316"/>
        <v>1</v>
      </c>
      <c r="Y275" s="122"/>
      <c r="Z275" s="122">
        <f t="shared" si="317"/>
        <v>0</v>
      </c>
      <c r="AA275" s="122"/>
      <c r="AB275" s="122">
        <v>5000</v>
      </c>
      <c r="AC275" s="26">
        <f t="shared" si="269"/>
        <v>109419</v>
      </c>
      <c r="AD275" s="122">
        <f t="shared" si="269"/>
        <v>1</v>
      </c>
      <c r="AE275" s="122">
        <f>104419+5000</f>
        <v>109419</v>
      </c>
      <c r="AF275" s="122">
        <f t="shared" si="318"/>
        <v>1</v>
      </c>
      <c r="AG275" s="122"/>
      <c r="AH275" s="122">
        <f t="shared" si="319"/>
        <v>0</v>
      </c>
      <c r="AI275" s="122">
        <f t="shared" si="321"/>
        <v>12157.666666666666</v>
      </c>
      <c r="AJ275" s="122">
        <v>1</v>
      </c>
      <c r="AK275" s="122"/>
      <c r="AL275" s="122">
        <v>0</v>
      </c>
      <c r="AM275" s="122">
        <v>0</v>
      </c>
      <c r="AN275" s="122">
        <f t="shared" si="265"/>
        <v>-5000</v>
      </c>
      <c r="AO275" s="122"/>
      <c r="AP275" s="122">
        <f t="shared" si="322"/>
        <v>-5000</v>
      </c>
      <c r="AQ275" s="122"/>
      <c r="AR275" s="34">
        <f t="shared" si="268"/>
        <v>5000</v>
      </c>
      <c r="AS275" s="10">
        <f t="shared" si="268"/>
        <v>1</v>
      </c>
      <c r="AT275" s="10">
        <v>5000</v>
      </c>
      <c r="AU275" s="10">
        <f t="shared" si="302"/>
        <v>1</v>
      </c>
      <c r="AV275" s="10"/>
      <c r="AW275" s="10">
        <f t="shared" si="303"/>
        <v>0</v>
      </c>
      <c r="AX275" s="10">
        <f t="shared" si="323"/>
        <v>555.55555555555554</v>
      </c>
      <c r="AY275" s="10"/>
      <c r="AZ275" s="10"/>
      <c r="BA275" s="10">
        <v>0</v>
      </c>
      <c r="BB275" s="10">
        <v>0</v>
      </c>
      <c r="BC275" s="10">
        <f t="shared" si="266"/>
        <v>0</v>
      </c>
      <c r="BD275" s="10"/>
      <c r="BE275" s="26">
        <f t="shared" si="298"/>
        <v>0</v>
      </c>
      <c r="BF275" s="122">
        <f t="shared" si="298"/>
        <v>0</v>
      </c>
      <c r="BG275" s="122"/>
      <c r="BH275" s="122">
        <f t="shared" si="299"/>
        <v>0</v>
      </c>
      <c r="BI275" s="122"/>
      <c r="BJ275" s="122">
        <f t="shared" si="300"/>
        <v>0</v>
      </c>
      <c r="BK275" s="122"/>
      <c r="BL275" s="122"/>
      <c r="BM275" s="122"/>
      <c r="BN275" s="122" t="s">
        <v>584</v>
      </c>
      <c r="BO275" s="122" t="s">
        <v>1697</v>
      </c>
      <c r="BP275" s="122" t="s">
        <v>1302</v>
      </c>
      <c r="BQ275" s="122" t="s">
        <v>582</v>
      </c>
      <c r="BR275" s="122" t="s">
        <v>583</v>
      </c>
      <c r="BS275" s="122" t="s">
        <v>575</v>
      </c>
      <c r="BT275" s="55" t="s">
        <v>11</v>
      </c>
    </row>
    <row r="276" spans="1:72" s="3" customFormat="1" ht="83.25" hidden="1" customHeight="1" outlineLevel="1" x14ac:dyDescent="0.25">
      <c r="A276" s="124"/>
      <c r="B276" s="59">
        <v>4</v>
      </c>
      <c r="C276" s="122" t="s">
        <v>1308</v>
      </c>
      <c r="D276" s="122" t="s">
        <v>319</v>
      </c>
      <c r="E276" s="122" t="s">
        <v>9</v>
      </c>
      <c r="F276" s="122">
        <v>199319.984</v>
      </c>
      <c r="G276" s="122">
        <v>190692</v>
      </c>
      <c r="H276" s="122">
        <v>184785</v>
      </c>
      <c r="I276" s="122">
        <f t="shared" si="314"/>
        <v>5907</v>
      </c>
      <c r="J276" s="122">
        <v>1</v>
      </c>
      <c r="K276" s="122">
        <v>1</v>
      </c>
      <c r="L276" s="122"/>
      <c r="M276" s="122">
        <v>99320</v>
      </c>
      <c r="N276" s="122">
        <f t="shared" si="320"/>
        <v>85464.444444444438</v>
      </c>
      <c r="O276" s="122">
        <v>82235</v>
      </c>
      <c r="P276" s="122">
        <v>1</v>
      </c>
      <c r="Q276" s="26">
        <v>82235</v>
      </c>
      <c r="R276" s="122">
        <v>1</v>
      </c>
      <c r="S276" s="122">
        <f t="shared" si="261"/>
        <v>5317</v>
      </c>
      <c r="T276" s="122"/>
      <c r="U276" s="26">
        <f t="shared" si="315"/>
        <v>76918</v>
      </c>
      <c r="V276" s="122">
        <f t="shared" si="315"/>
        <v>1</v>
      </c>
      <c r="W276" s="122">
        <v>76918</v>
      </c>
      <c r="X276" s="122">
        <f t="shared" si="316"/>
        <v>1</v>
      </c>
      <c r="Y276" s="122"/>
      <c r="Z276" s="122">
        <f t="shared" si="317"/>
        <v>0</v>
      </c>
      <c r="AA276" s="122">
        <v>0</v>
      </c>
      <c r="AB276" s="122"/>
      <c r="AC276" s="26">
        <f t="shared" si="269"/>
        <v>76918</v>
      </c>
      <c r="AD276" s="122">
        <f t="shared" si="269"/>
        <v>1</v>
      </c>
      <c r="AE276" s="122">
        <v>76918</v>
      </c>
      <c r="AF276" s="122">
        <f t="shared" si="318"/>
        <v>1</v>
      </c>
      <c r="AG276" s="122"/>
      <c r="AH276" s="122">
        <f t="shared" si="319"/>
        <v>0</v>
      </c>
      <c r="AI276" s="122">
        <f t="shared" si="321"/>
        <v>8546.4444444444434</v>
      </c>
      <c r="AJ276" s="122">
        <v>1</v>
      </c>
      <c r="AK276" s="122"/>
      <c r="AL276" s="122">
        <v>0</v>
      </c>
      <c r="AM276" s="122">
        <v>0</v>
      </c>
      <c r="AN276" s="122">
        <f t="shared" si="265"/>
        <v>0</v>
      </c>
      <c r="AO276" s="122"/>
      <c r="AP276" s="122">
        <f t="shared" si="322"/>
        <v>0</v>
      </c>
      <c r="AQ276" s="122"/>
      <c r="AR276" s="34">
        <f t="shared" si="268"/>
        <v>0</v>
      </c>
      <c r="AS276" s="10">
        <f t="shared" si="268"/>
        <v>0</v>
      </c>
      <c r="AT276" s="10">
        <v>0</v>
      </c>
      <c r="AU276" s="10">
        <f t="shared" si="302"/>
        <v>0</v>
      </c>
      <c r="AV276" s="10"/>
      <c r="AW276" s="10">
        <f t="shared" si="303"/>
        <v>0</v>
      </c>
      <c r="AX276" s="10">
        <f t="shared" si="323"/>
        <v>0</v>
      </c>
      <c r="AY276" s="10"/>
      <c r="AZ276" s="10"/>
      <c r="BA276" s="10">
        <v>0</v>
      </c>
      <c r="BB276" s="10">
        <v>0</v>
      </c>
      <c r="BC276" s="10">
        <f t="shared" si="266"/>
        <v>0</v>
      </c>
      <c r="BD276" s="10"/>
      <c r="BE276" s="26">
        <f t="shared" si="298"/>
        <v>0</v>
      </c>
      <c r="BF276" s="122">
        <f t="shared" si="298"/>
        <v>0</v>
      </c>
      <c r="BG276" s="122"/>
      <c r="BH276" s="122">
        <f t="shared" si="299"/>
        <v>0</v>
      </c>
      <c r="BI276" s="122"/>
      <c r="BJ276" s="122">
        <f t="shared" si="300"/>
        <v>0</v>
      </c>
      <c r="BK276" s="122"/>
      <c r="BL276" s="122"/>
      <c r="BM276" s="122"/>
      <c r="BN276" s="122" t="s">
        <v>585</v>
      </c>
      <c r="BO276" s="122" t="s">
        <v>1697</v>
      </c>
      <c r="BP276" s="122" t="s">
        <v>587</v>
      </c>
      <c r="BQ276" s="122" t="s">
        <v>582</v>
      </c>
      <c r="BR276" s="122" t="s">
        <v>583</v>
      </c>
      <c r="BS276" s="122" t="s">
        <v>586</v>
      </c>
      <c r="BT276" s="55" t="s">
        <v>11</v>
      </c>
    </row>
    <row r="277" spans="1:72" s="3" customFormat="1" ht="70.5" hidden="1" customHeight="1" outlineLevel="1" x14ac:dyDescent="0.25">
      <c r="A277" s="124"/>
      <c r="B277" s="59">
        <v>5</v>
      </c>
      <c r="C277" s="122" t="s">
        <v>1309</v>
      </c>
      <c r="D277" s="122" t="s">
        <v>589</v>
      </c>
      <c r="E277" s="122" t="s">
        <v>9</v>
      </c>
      <c r="F277" s="122">
        <v>158366</v>
      </c>
      <c r="G277" s="122">
        <v>150011</v>
      </c>
      <c r="H277" s="122">
        <v>147573</v>
      </c>
      <c r="I277" s="122">
        <f t="shared" si="314"/>
        <v>2438</v>
      </c>
      <c r="J277" s="122">
        <v>1</v>
      </c>
      <c r="K277" s="122">
        <v>1</v>
      </c>
      <c r="L277" s="122"/>
      <c r="M277" s="122">
        <v>70000</v>
      </c>
      <c r="N277" s="122">
        <f t="shared" si="320"/>
        <v>77573.333333333328</v>
      </c>
      <c r="O277" s="122">
        <v>72010</v>
      </c>
      <c r="P277" s="122">
        <v>1</v>
      </c>
      <c r="Q277" s="26">
        <v>72010</v>
      </c>
      <c r="R277" s="122">
        <v>1</v>
      </c>
      <c r="S277" s="122">
        <f t="shared" si="261"/>
        <v>2194</v>
      </c>
      <c r="T277" s="122"/>
      <c r="U277" s="26">
        <f t="shared" si="315"/>
        <v>69816</v>
      </c>
      <c r="V277" s="122">
        <f t="shared" si="315"/>
        <v>1</v>
      </c>
      <c r="W277" s="122">
        <v>69816</v>
      </c>
      <c r="X277" s="122">
        <f t="shared" si="316"/>
        <v>1</v>
      </c>
      <c r="Y277" s="122"/>
      <c r="Z277" s="122">
        <f t="shared" si="317"/>
        <v>0</v>
      </c>
      <c r="AA277" s="122">
        <v>0</v>
      </c>
      <c r="AB277" s="122"/>
      <c r="AC277" s="26">
        <f t="shared" si="269"/>
        <v>69816</v>
      </c>
      <c r="AD277" s="122">
        <f t="shared" si="269"/>
        <v>1</v>
      </c>
      <c r="AE277" s="122">
        <v>69816</v>
      </c>
      <c r="AF277" s="122">
        <f t="shared" si="318"/>
        <v>1</v>
      </c>
      <c r="AG277" s="122"/>
      <c r="AH277" s="122">
        <f t="shared" si="319"/>
        <v>0</v>
      </c>
      <c r="AI277" s="122">
        <f t="shared" si="321"/>
        <v>7757.333333333333</v>
      </c>
      <c r="AJ277" s="122">
        <v>1</v>
      </c>
      <c r="AK277" s="122"/>
      <c r="AL277" s="122">
        <v>0</v>
      </c>
      <c r="AM277" s="122">
        <v>0</v>
      </c>
      <c r="AN277" s="122">
        <f t="shared" si="265"/>
        <v>0</v>
      </c>
      <c r="AO277" s="122"/>
      <c r="AP277" s="122">
        <f t="shared" si="322"/>
        <v>0</v>
      </c>
      <c r="AQ277" s="122"/>
      <c r="AR277" s="34">
        <f t="shared" si="268"/>
        <v>0</v>
      </c>
      <c r="AS277" s="10">
        <f t="shared" si="268"/>
        <v>0</v>
      </c>
      <c r="AT277" s="10">
        <v>0</v>
      </c>
      <c r="AU277" s="10">
        <f t="shared" si="302"/>
        <v>0</v>
      </c>
      <c r="AV277" s="10"/>
      <c r="AW277" s="10">
        <f t="shared" si="303"/>
        <v>0</v>
      </c>
      <c r="AX277" s="10">
        <f t="shared" si="323"/>
        <v>0</v>
      </c>
      <c r="AY277" s="10"/>
      <c r="AZ277" s="10"/>
      <c r="BA277" s="10">
        <v>0</v>
      </c>
      <c r="BB277" s="10">
        <v>0</v>
      </c>
      <c r="BC277" s="10">
        <f t="shared" si="266"/>
        <v>0</v>
      </c>
      <c r="BD277" s="10"/>
      <c r="BE277" s="26">
        <f t="shared" si="298"/>
        <v>0</v>
      </c>
      <c r="BF277" s="122">
        <f t="shared" si="298"/>
        <v>0</v>
      </c>
      <c r="BG277" s="122"/>
      <c r="BH277" s="122">
        <f t="shared" si="299"/>
        <v>0</v>
      </c>
      <c r="BI277" s="122"/>
      <c r="BJ277" s="122">
        <f t="shared" si="300"/>
        <v>0</v>
      </c>
      <c r="BK277" s="122"/>
      <c r="BL277" s="122"/>
      <c r="BM277" s="122"/>
      <c r="BN277" s="122" t="s">
        <v>588</v>
      </c>
      <c r="BO277" s="122" t="s">
        <v>1697</v>
      </c>
      <c r="BP277" s="122" t="s">
        <v>590</v>
      </c>
      <c r="BQ277" s="122" t="s">
        <v>582</v>
      </c>
      <c r="BR277" s="122" t="s">
        <v>583</v>
      </c>
      <c r="BS277" s="122" t="s">
        <v>575</v>
      </c>
      <c r="BT277" s="55" t="s">
        <v>11</v>
      </c>
    </row>
    <row r="278" spans="1:72" s="3" customFormat="1" ht="66.75" hidden="1" customHeight="1" outlineLevel="1" x14ac:dyDescent="0.25">
      <c r="A278" s="124"/>
      <c r="B278" s="59">
        <v>6</v>
      </c>
      <c r="C278" s="122" t="s">
        <v>1310</v>
      </c>
      <c r="D278" s="122" t="s">
        <v>320</v>
      </c>
      <c r="E278" s="122" t="s">
        <v>9</v>
      </c>
      <c r="F278" s="122">
        <v>275472</v>
      </c>
      <c r="G278" s="122">
        <v>266709</v>
      </c>
      <c r="H278" s="26" t="s">
        <v>1733</v>
      </c>
      <c r="I278" s="122" t="e">
        <f t="shared" si="314"/>
        <v>#VALUE!</v>
      </c>
      <c r="J278" s="122">
        <v>1</v>
      </c>
      <c r="K278" s="122">
        <v>1</v>
      </c>
      <c r="L278" s="122"/>
      <c r="M278" s="122">
        <v>135472</v>
      </c>
      <c r="N278" s="122">
        <f t="shared" si="320"/>
        <v>131236.66666666666</v>
      </c>
      <c r="O278" s="122">
        <v>118113</v>
      </c>
      <c r="P278" s="122">
        <v>1</v>
      </c>
      <c r="Q278" s="26">
        <v>118113</v>
      </c>
      <c r="R278" s="122">
        <v>1</v>
      </c>
      <c r="S278" s="122">
        <f t="shared" si="261"/>
        <v>0</v>
      </c>
      <c r="T278" s="122"/>
      <c r="U278" s="26">
        <f t="shared" si="315"/>
        <v>108113</v>
      </c>
      <c r="V278" s="122">
        <f t="shared" si="315"/>
        <v>1</v>
      </c>
      <c r="W278" s="122">
        <v>108113</v>
      </c>
      <c r="X278" s="122">
        <f t="shared" si="316"/>
        <v>1</v>
      </c>
      <c r="Y278" s="122"/>
      <c r="Z278" s="122">
        <f t="shared" si="317"/>
        <v>0</v>
      </c>
      <c r="AA278" s="122"/>
      <c r="AB278" s="122">
        <v>10000</v>
      </c>
      <c r="AC278" s="26">
        <f t="shared" si="269"/>
        <v>118113</v>
      </c>
      <c r="AD278" s="122">
        <f t="shared" si="269"/>
        <v>1</v>
      </c>
      <c r="AE278" s="122">
        <f>108113+10000</f>
        <v>118113</v>
      </c>
      <c r="AF278" s="122">
        <f t="shared" si="318"/>
        <v>1</v>
      </c>
      <c r="AG278" s="122"/>
      <c r="AH278" s="122">
        <f t="shared" si="319"/>
        <v>0</v>
      </c>
      <c r="AI278" s="122">
        <f t="shared" si="321"/>
        <v>13123.666666666666</v>
      </c>
      <c r="AJ278" s="122">
        <v>1</v>
      </c>
      <c r="AK278" s="122"/>
      <c r="AL278" s="122">
        <v>0</v>
      </c>
      <c r="AM278" s="122">
        <v>0</v>
      </c>
      <c r="AN278" s="122">
        <f t="shared" si="265"/>
        <v>-12000</v>
      </c>
      <c r="AO278" s="122"/>
      <c r="AP278" s="122">
        <f t="shared" si="322"/>
        <v>-10000</v>
      </c>
      <c r="AQ278" s="122"/>
      <c r="AR278" s="34">
        <f t="shared" si="268"/>
        <v>12000</v>
      </c>
      <c r="AS278" s="10">
        <f t="shared" si="268"/>
        <v>1</v>
      </c>
      <c r="AT278" s="10">
        <f>10000+2000</f>
        <v>12000</v>
      </c>
      <c r="AU278" s="10">
        <f t="shared" si="302"/>
        <v>1</v>
      </c>
      <c r="AV278" s="10"/>
      <c r="AW278" s="10">
        <f t="shared" si="303"/>
        <v>0</v>
      </c>
      <c r="AX278" s="10">
        <f t="shared" si="323"/>
        <v>1333.3333333333333</v>
      </c>
      <c r="AY278" s="10"/>
      <c r="AZ278" s="10"/>
      <c r="BA278" s="10">
        <v>0</v>
      </c>
      <c r="BB278" s="10">
        <v>0</v>
      </c>
      <c r="BC278" s="10">
        <f t="shared" si="266"/>
        <v>0</v>
      </c>
      <c r="BD278" s="10"/>
      <c r="BE278" s="26">
        <f t="shared" si="298"/>
        <v>0</v>
      </c>
      <c r="BF278" s="122">
        <f t="shared" si="298"/>
        <v>0</v>
      </c>
      <c r="BG278" s="122"/>
      <c r="BH278" s="122">
        <f t="shared" si="299"/>
        <v>0</v>
      </c>
      <c r="BI278" s="122"/>
      <c r="BJ278" s="122">
        <f t="shared" si="300"/>
        <v>0</v>
      </c>
      <c r="BK278" s="122"/>
      <c r="BL278" s="122"/>
      <c r="BM278" s="122"/>
      <c r="BN278" s="122" t="s">
        <v>615</v>
      </c>
      <c r="BO278" s="122" t="s">
        <v>1697</v>
      </c>
      <c r="BP278" s="122" t="s">
        <v>616</v>
      </c>
      <c r="BQ278" s="122" t="s">
        <v>613</v>
      </c>
      <c r="BR278" s="122" t="s">
        <v>614</v>
      </c>
      <c r="BS278" s="122" t="s">
        <v>586</v>
      </c>
      <c r="BT278" s="55" t="s">
        <v>11</v>
      </c>
    </row>
    <row r="279" spans="1:72" s="3" customFormat="1" ht="81.75" hidden="1" customHeight="1" outlineLevel="1" x14ac:dyDescent="0.25">
      <c r="A279" s="124"/>
      <c r="B279" s="59">
        <v>7</v>
      </c>
      <c r="C279" s="122" t="s">
        <v>1311</v>
      </c>
      <c r="D279" s="122" t="s">
        <v>617</v>
      </c>
      <c r="E279" s="122" t="s">
        <v>9</v>
      </c>
      <c r="F279" s="122">
        <v>172984</v>
      </c>
      <c r="G279" s="122">
        <v>165939</v>
      </c>
      <c r="H279" s="122">
        <v>163183</v>
      </c>
      <c r="I279" s="122">
        <f t="shared" si="314"/>
        <v>2756</v>
      </c>
      <c r="J279" s="122">
        <v>1</v>
      </c>
      <c r="K279" s="122">
        <v>1</v>
      </c>
      <c r="L279" s="122"/>
      <c r="M279" s="122">
        <v>92984</v>
      </c>
      <c r="N279" s="122">
        <f t="shared" si="320"/>
        <v>70198.888888888891</v>
      </c>
      <c r="O279" s="122">
        <v>65659</v>
      </c>
      <c r="P279" s="122">
        <v>1</v>
      </c>
      <c r="Q279" s="26">
        <v>65659</v>
      </c>
      <c r="R279" s="122">
        <v>1</v>
      </c>
      <c r="S279" s="122">
        <f t="shared" si="261"/>
        <v>2480</v>
      </c>
      <c r="T279" s="122"/>
      <c r="U279" s="26">
        <f t="shared" si="315"/>
        <v>63179</v>
      </c>
      <c r="V279" s="122">
        <f t="shared" si="315"/>
        <v>1</v>
      </c>
      <c r="W279" s="122">
        <v>63179</v>
      </c>
      <c r="X279" s="122">
        <f t="shared" si="316"/>
        <v>1</v>
      </c>
      <c r="Y279" s="122"/>
      <c r="Z279" s="122">
        <f t="shared" si="317"/>
        <v>0</v>
      </c>
      <c r="AA279" s="122">
        <v>0</v>
      </c>
      <c r="AB279" s="122"/>
      <c r="AC279" s="26">
        <f t="shared" si="269"/>
        <v>63179</v>
      </c>
      <c r="AD279" s="122">
        <f t="shared" si="269"/>
        <v>1</v>
      </c>
      <c r="AE279" s="122">
        <v>63179</v>
      </c>
      <c r="AF279" s="122">
        <f t="shared" si="318"/>
        <v>1</v>
      </c>
      <c r="AG279" s="122"/>
      <c r="AH279" s="122">
        <f t="shared" si="319"/>
        <v>0</v>
      </c>
      <c r="AI279" s="122">
        <f t="shared" si="321"/>
        <v>7019.8888888888896</v>
      </c>
      <c r="AJ279" s="122">
        <v>1</v>
      </c>
      <c r="AK279" s="122"/>
      <c r="AL279" s="122">
        <v>0</v>
      </c>
      <c r="AM279" s="122">
        <v>0</v>
      </c>
      <c r="AN279" s="122">
        <f t="shared" si="265"/>
        <v>0</v>
      </c>
      <c r="AO279" s="122"/>
      <c r="AP279" s="122">
        <f t="shared" si="322"/>
        <v>0</v>
      </c>
      <c r="AQ279" s="122"/>
      <c r="AR279" s="34">
        <f t="shared" ref="AR279:AS324" si="324">AT279+AV279</f>
        <v>0</v>
      </c>
      <c r="AS279" s="10">
        <f t="shared" si="324"/>
        <v>0</v>
      </c>
      <c r="AT279" s="10">
        <v>0</v>
      </c>
      <c r="AU279" s="10">
        <f t="shared" si="302"/>
        <v>0</v>
      </c>
      <c r="AV279" s="10"/>
      <c r="AW279" s="10">
        <f t="shared" si="303"/>
        <v>0</v>
      </c>
      <c r="AX279" s="10">
        <f t="shared" si="323"/>
        <v>0</v>
      </c>
      <c r="AY279" s="10"/>
      <c r="AZ279" s="10"/>
      <c r="BA279" s="10">
        <v>0</v>
      </c>
      <c r="BB279" s="10">
        <v>0</v>
      </c>
      <c r="BC279" s="10">
        <f t="shared" si="266"/>
        <v>0</v>
      </c>
      <c r="BD279" s="10"/>
      <c r="BE279" s="26">
        <f t="shared" si="298"/>
        <v>0</v>
      </c>
      <c r="BF279" s="122">
        <f t="shared" si="298"/>
        <v>0</v>
      </c>
      <c r="BG279" s="122"/>
      <c r="BH279" s="122">
        <f t="shared" si="299"/>
        <v>0</v>
      </c>
      <c r="BI279" s="122"/>
      <c r="BJ279" s="122">
        <f t="shared" si="300"/>
        <v>0</v>
      </c>
      <c r="BK279" s="122"/>
      <c r="BL279" s="122"/>
      <c r="BM279" s="122"/>
      <c r="BN279" s="122" t="s">
        <v>618</v>
      </c>
      <c r="BO279" s="122" t="s">
        <v>1697</v>
      </c>
      <c r="BP279" s="122" t="s">
        <v>619</v>
      </c>
      <c r="BQ279" s="122" t="s">
        <v>620</v>
      </c>
      <c r="BR279" s="122" t="s">
        <v>614</v>
      </c>
      <c r="BS279" s="122" t="s">
        <v>586</v>
      </c>
      <c r="BT279" s="55" t="s">
        <v>11</v>
      </c>
    </row>
    <row r="280" spans="1:72" s="3" customFormat="1" ht="93" hidden="1" customHeight="1" outlineLevel="1" x14ac:dyDescent="0.25">
      <c r="A280" s="124"/>
      <c r="B280" s="59">
        <v>8</v>
      </c>
      <c r="C280" s="122" t="s">
        <v>1497</v>
      </c>
      <c r="D280" s="122" t="s">
        <v>622</v>
      </c>
      <c r="E280" s="122" t="s">
        <v>9</v>
      </c>
      <c r="F280" s="122">
        <v>253560</v>
      </c>
      <c r="G280" s="122">
        <v>244174</v>
      </c>
      <c r="H280" s="122">
        <v>231719</v>
      </c>
      <c r="I280" s="122">
        <f t="shared" si="314"/>
        <v>12455</v>
      </c>
      <c r="J280" s="122">
        <v>1</v>
      </c>
      <c r="K280" s="122">
        <v>1</v>
      </c>
      <c r="L280" s="122"/>
      <c r="M280" s="122">
        <v>33333</v>
      </c>
      <c r="N280" s="122">
        <f t="shared" si="320"/>
        <v>198385.55555555556</v>
      </c>
      <c r="O280" s="122">
        <v>129757</v>
      </c>
      <c r="P280" s="122">
        <v>1</v>
      </c>
      <c r="Q280" s="26">
        <v>129757</v>
      </c>
      <c r="R280" s="122">
        <v>1</v>
      </c>
      <c r="S280" s="122">
        <f t="shared" si="261"/>
        <v>-48790</v>
      </c>
      <c r="T280" s="122"/>
      <c r="U280" s="26">
        <f t="shared" si="315"/>
        <v>178547</v>
      </c>
      <c r="V280" s="122">
        <f t="shared" si="315"/>
        <v>1</v>
      </c>
      <c r="W280" s="122">
        <v>178547</v>
      </c>
      <c r="X280" s="122">
        <f t="shared" si="316"/>
        <v>1</v>
      </c>
      <c r="Y280" s="122"/>
      <c r="Z280" s="122">
        <f t="shared" si="317"/>
        <v>0</v>
      </c>
      <c r="AA280" s="122">
        <v>0</v>
      </c>
      <c r="AB280" s="122"/>
      <c r="AC280" s="26">
        <f t="shared" ref="AC280:AD324" si="325">AE280+AG280</f>
        <v>178547</v>
      </c>
      <c r="AD280" s="122">
        <f t="shared" si="325"/>
        <v>1</v>
      </c>
      <c r="AE280" s="122">
        <v>178547</v>
      </c>
      <c r="AF280" s="122">
        <f t="shared" si="318"/>
        <v>1</v>
      </c>
      <c r="AG280" s="122"/>
      <c r="AH280" s="122">
        <f t="shared" si="319"/>
        <v>0</v>
      </c>
      <c r="AI280" s="122">
        <f t="shared" si="321"/>
        <v>19838.555555555558</v>
      </c>
      <c r="AJ280" s="122">
        <v>1</v>
      </c>
      <c r="AK280" s="122"/>
      <c r="AL280" s="122">
        <v>0</v>
      </c>
      <c r="AM280" s="122">
        <v>0</v>
      </c>
      <c r="AN280" s="122">
        <f t="shared" si="265"/>
        <v>0</v>
      </c>
      <c r="AO280" s="122"/>
      <c r="AP280" s="122">
        <f t="shared" si="322"/>
        <v>0</v>
      </c>
      <c r="AQ280" s="122"/>
      <c r="AR280" s="34">
        <f t="shared" si="324"/>
        <v>0</v>
      </c>
      <c r="AS280" s="10">
        <f t="shared" si="324"/>
        <v>0</v>
      </c>
      <c r="AT280" s="10">
        <v>0</v>
      </c>
      <c r="AU280" s="10">
        <f t="shared" si="302"/>
        <v>0</v>
      </c>
      <c r="AV280" s="10"/>
      <c r="AW280" s="10">
        <f t="shared" si="303"/>
        <v>0</v>
      </c>
      <c r="AX280" s="10">
        <f t="shared" si="323"/>
        <v>0</v>
      </c>
      <c r="AY280" s="10"/>
      <c r="AZ280" s="10"/>
      <c r="BA280" s="10">
        <v>0</v>
      </c>
      <c r="BB280" s="10">
        <v>0</v>
      </c>
      <c r="BC280" s="10">
        <f t="shared" si="266"/>
        <v>0</v>
      </c>
      <c r="BD280" s="10"/>
      <c r="BE280" s="26">
        <f t="shared" si="298"/>
        <v>0</v>
      </c>
      <c r="BF280" s="122">
        <f t="shared" si="298"/>
        <v>0</v>
      </c>
      <c r="BG280" s="122"/>
      <c r="BH280" s="122">
        <f t="shared" si="299"/>
        <v>0</v>
      </c>
      <c r="BI280" s="122"/>
      <c r="BJ280" s="122">
        <f t="shared" si="300"/>
        <v>0</v>
      </c>
      <c r="BK280" s="122"/>
      <c r="BL280" s="122"/>
      <c r="BM280" s="122"/>
      <c r="BN280" s="122" t="s">
        <v>621</v>
      </c>
      <c r="BO280" s="122" t="s">
        <v>1697</v>
      </c>
      <c r="BP280" s="122" t="s">
        <v>623</v>
      </c>
      <c r="BQ280" s="122" t="s">
        <v>620</v>
      </c>
      <c r="BR280" s="122" t="s">
        <v>614</v>
      </c>
      <c r="BS280" s="122" t="s">
        <v>586</v>
      </c>
      <c r="BT280" s="55" t="s">
        <v>11</v>
      </c>
    </row>
    <row r="281" spans="1:72" s="3" customFormat="1" ht="83.25" hidden="1" customHeight="1" outlineLevel="1" x14ac:dyDescent="0.25">
      <c r="A281" s="124"/>
      <c r="B281" s="59">
        <v>9</v>
      </c>
      <c r="C281" s="122" t="s">
        <v>1312</v>
      </c>
      <c r="D281" s="122" t="s">
        <v>631</v>
      </c>
      <c r="E281" s="122" t="s">
        <v>9</v>
      </c>
      <c r="F281" s="122">
        <v>175222.9</v>
      </c>
      <c r="G281" s="122">
        <v>241220</v>
      </c>
      <c r="H281" s="122">
        <v>163159</v>
      </c>
      <c r="I281" s="122">
        <f t="shared" si="314"/>
        <v>78061</v>
      </c>
      <c r="J281" s="122">
        <v>1</v>
      </c>
      <c r="K281" s="122">
        <v>1</v>
      </c>
      <c r="L281" s="122"/>
      <c r="M281" s="122">
        <v>85662</v>
      </c>
      <c r="N281" s="122">
        <f t="shared" si="320"/>
        <v>77496.666666666672</v>
      </c>
      <c r="O281" s="122">
        <v>145098</v>
      </c>
      <c r="P281" s="122">
        <v>1</v>
      </c>
      <c r="Q281" s="26">
        <v>145098</v>
      </c>
      <c r="R281" s="122">
        <v>1</v>
      </c>
      <c r="S281" s="122">
        <f t="shared" si="261"/>
        <v>75351</v>
      </c>
      <c r="T281" s="122"/>
      <c r="U281" s="26">
        <f t="shared" si="315"/>
        <v>69747</v>
      </c>
      <c r="V281" s="122">
        <f t="shared" si="315"/>
        <v>1</v>
      </c>
      <c r="W281" s="122">
        <v>69747</v>
      </c>
      <c r="X281" s="122">
        <f t="shared" si="316"/>
        <v>1</v>
      </c>
      <c r="Y281" s="122"/>
      <c r="Z281" s="122">
        <f t="shared" si="317"/>
        <v>0</v>
      </c>
      <c r="AA281" s="122">
        <v>0</v>
      </c>
      <c r="AB281" s="122"/>
      <c r="AC281" s="26">
        <f t="shared" si="325"/>
        <v>69747</v>
      </c>
      <c r="AD281" s="122">
        <f t="shared" si="325"/>
        <v>1</v>
      </c>
      <c r="AE281" s="122">
        <v>69747</v>
      </c>
      <c r="AF281" s="122">
        <f t="shared" si="318"/>
        <v>1</v>
      </c>
      <c r="AG281" s="122"/>
      <c r="AH281" s="122">
        <f t="shared" si="319"/>
        <v>0</v>
      </c>
      <c r="AI281" s="122">
        <f t="shared" si="321"/>
        <v>7749.6666666666679</v>
      </c>
      <c r="AJ281" s="122">
        <v>1</v>
      </c>
      <c r="AK281" s="122"/>
      <c r="AL281" s="122">
        <v>0</v>
      </c>
      <c r="AM281" s="122">
        <v>0</v>
      </c>
      <c r="AN281" s="122">
        <f t="shared" si="265"/>
        <v>0</v>
      </c>
      <c r="AO281" s="122"/>
      <c r="AP281" s="122">
        <f t="shared" si="322"/>
        <v>0</v>
      </c>
      <c r="AQ281" s="122"/>
      <c r="AR281" s="34">
        <f t="shared" si="324"/>
        <v>0</v>
      </c>
      <c r="AS281" s="10">
        <f t="shared" si="324"/>
        <v>0</v>
      </c>
      <c r="AT281" s="10">
        <v>0</v>
      </c>
      <c r="AU281" s="10">
        <f t="shared" si="302"/>
        <v>0</v>
      </c>
      <c r="AV281" s="10"/>
      <c r="AW281" s="10">
        <f t="shared" si="303"/>
        <v>0</v>
      </c>
      <c r="AX281" s="10">
        <f t="shared" si="323"/>
        <v>0</v>
      </c>
      <c r="AY281" s="10"/>
      <c r="AZ281" s="10"/>
      <c r="BA281" s="10">
        <v>0</v>
      </c>
      <c r="BB281" s="10">
        <v>0</v>
      </c>
      <c r="BC281" s="10">
        <f t="shared" si="266"/>
        <v>0</v>
      </c>
      <c r="BD281" s="10"/>
      <c r="BE281" s="26">
        <f t="shared" si="298"/>
        <v>0</v>
      </c>
      <c r="BF281" s="122">
        <f t="shared" si="298"/>
        <v>0</v>
      </c>
      <c r="BG281" s="122"/>
      <c r="BH281" s="122">
        <f t="shared" si="299"/>
        <v>0</v>
      </c>
      <c r="BI281" s="122"/>
      <c r="BJ281" s="122">
        <f t="shared" si="300"/>
        <v>0</v>
      </c>
      <c r="BK281" s="122"/>
      <c r="BL281" s="122"/>
      <c r="BM281" s="122"/>
      <c r="BN281" s="122" t="s">
        <v>1303</v>
      </c>
      <c r="BO281" s="122" t="s">
        <v>1697</v>
      </c>
      <c r="BP281" s="122" t="s">
        <v>632</v>
      </c>
      <c r="BQ281" s="122" t="s">
        <v>582</v>
      </c>
      <c r="BR281" s="122" t="s">
        <v>583</v>
      </c>
      <c r="BS281" s="122" t="s">
        <v>586</v>
      </c>
      <c r="BT281" s="55" t="s">
        <v>11</v>
      </c>
    </row>
    <row r="282" spans="1:72" s="3" customFormat="1" ht="74.25" hidden="1" customHeight="1" outlineLevel="1" x14ac:dyDescent="0.25">
      <c r="A282" s="124"/>
      <c r="B282" s="59">
        <v>10</v>
      </c>
      <c r="C282" s="122" t="s">
        <v>1313</v>
      </c>
      <c r="D282" s="122" t="s">
        <v>591</v>
      </c>
      <c r="E282" s="122" t="s">
        <v>9</v>
      </c>
      <c r="F282" s="122">
        <v>185526.492</v>
      </c>
      <c r="G282" s="122">
        <v>176401</v>
      </c>
      <c r="H282" s="122">
        <v>172131</v>
      </c>
      <c r="I282" s="122">
        <f t="shared" si="314"/>
        <v>4270</v>
      </c>
      <c r="J282" s="122">
        <v>1</v>
      </c>
      <c r="K282" s="122">
        <v>1</v>
      </c>
      <c r="L282" s="122"/>
      <c r="M282" s="122">
        <v>85526</v>
      </c>
      <c r="N282" s="122">
        <f t="shared" si="320"/>
        <v>86604.444444444438</v>
      </c>
      <c r="O282" s="122">
        <v>81788</v>
      </c>
      <c r="P282" s="122">
        <v>1</v>
      </c>
      <c r="Q282" s="26">
        <v>81788</v>
      </c>
      <c r="R282" s="122">
        <v>1</v>
      </c>
      <c r="S282" s="122">
        <f t="shared" si="261"/>
        <v>3844</v>
      </c>
      <c r="T282" s="122"/>
      <c r="U282" s="26">
        <f t="shared" si="315"/>
        <v>77944</v>
      </c>
      <c r="V282" s="122">
        <f t="shared" si="315"/>
        <v>1</v>
      </c>
      <c r="W282" s="122">
        <v>77944</v>
      </c>
      <c r="X282" s="122">
        <f t="shared" si="316"/>
        <v>1</v>
      </c>
      <c r="Y282" s="122"/>
      <c r="Z282" s="122">
        <f t="shared" si="317"/>
        <v>0</v>
      </c>
      <c r="AA282" s="122">
        <v>0</v>
      </c>
      <c r="AB282" s="122"/>
      <c r="AC282" s="26">
        <f t="shared" si="325"/>
        <v>77944</v>
      </c>
      <c r="AD282" s="122">
        <f t="shared" si="325"/>
        <v>1</v>
      </c>
      <c r="AE282" s="122">
        <v>77944</v>
      </c>
      <c r="AF282" s="122">
        <f t="shared" si="318"/>
        <v>1</v>
      </c>
      <c r="AG282" s="122"/>
      <c r="AH282" s="122">
        <f t="shared" si="319"/>
        <v>0</v>
      </c>
      <c r="AI282" s="122">
        <f t="shared" si="321"/>
        <v>8660.4444444444434</v>
      </c>
      <c r="AJ282" s="122">
        <v>1</v>
      </c>
      <c r="AK282" s="122"/>
      <c r="AL282" s="122">
        <v>0</v>
      </c>
      <c r="AM282" s="122">
        <v>0</v>
      </c>
      <c r="AN282" s="122">
        <f t="shared" si="265"/>
        <v>0</v>
      </c>
      <c r="AO282" s="122"/>
      <c r="AP282" s="122">
        <f t="shared" si="322"/>
        <v>0</v>
      </c>
      <c r="AQ282" s="122"/>
      <c r="AR282" s="34">
        <f t="shared" si="324"/>
        <v>0</v>
      </c>
      <c r="AS282" s="10">
        <f t="shared" si="324"/>
        <v>0</v>
      </c>
      <c r="AT282" s="10">
        <v>0</v>
      </c>
      <c r="AU282" s="10">
        <f t="shared" si="302"/>
        <v>0</v>
      </c>
      <c r="AV282" s="10"/>
      <c r="AW282" s="10">
        <f t="shared" si="303"/>
        <v>0</v>
      </c>
      <c r="AX282" s="10">
        <f t="shared" si="323"/>
        <v>0</v>
      </c>
      <c r="AY282" s="10"/>
      <c r="AZ282" s="10"/>
      <c r="BA282" s="10">
        <v>0</v>
      </c>
      <c r="BB282" s="10">
        <v>0</v>
      </c>
      <c r="BC282" s="10">
        <f t="shared" si="266"/>
        <v>0</v>
      </c>
      <c r="BD282" s="10"/>
      <c r="BE282" s="26">
        <f t="shared" si="298"/>
        <v>0</v>
      </c>
      <c r="BF282" s="122">
        <f t="shared" si="298"/>
        <v>0</v>
      </c>
      <c r="BG282" s="122"/>
      <c r="BH282" s="122">
        <f t="shared" si="299"/>
        <v>0</v>
      </c>
      <c r="BI282" s="122"/>
      <c r="BJ282" s="122">
        <f t="shared" si="300"/>
        <v>0</v>
      </c>
      <c r="BK282" s="122"/>
      <c r="BL282" s="122"/>
      <c r="BM282" s="122"/>
      <c r="BN282" s="122" t="s">
        <v>592</v>
      </c>
      <c r="BO282" s="122" t="s">
        <v>1697</v>
      </c>
      <c r="BP282" s="122" t="s">
        <v>593</v>
      </c>
      <c r="BQ282" s="122" t="s">
        <v>594</v>
      </c>
      <c r="BR282" s="122" t="s">
        <v>583</v>
      </c>
      <c r="BS282" s="122" t="s">
        <v>586</v>
      </c>
      <c r="BT282" s="55" t="s">
        <v>11</v>
      </c>
    </row>
    <row r="283" spans="1:72" s="3" customFormat="1" ht="69" hidden="1" customHeight="1" outlineLevel="1" x14ac:dyDescent="0.25">
      <c r="A283" s="124"/>
      <c r="B283" s="59">
        <v>11</v>
      </c>
      <c r="C283" s="122" t="s">
        <v>1314</v>
      </c>
      <c r="D283" s="122" t="s">
        <v>595</v>
      </c>
      <c r="E283" s="122" t="s">
        <v>9</v>
      </c>
      <c r="F283" s="122">
        <v>174213.06400000001</v>
      </c>
      <c r="G283" s="122">
        <v>166823</v>
      </c>
      <c r="H283" s="26" t="s">
        <v>1734</v>
      </c>
      <c r="I283" s="122" t="e">
        <f t="shared" si="314"/>
        <v>#VALUE!</v>
      </c>
      <c r="J283" s="122">
        <v>1</v>
      </c>
      <c r="K283" s="122">
        <v>1</v>
      </c>
      <c r="L283" s="122"/>
      <c r="M283" s="122">
        <v>105556</v>
      </c>
      <c r="N283" s="122">
        <f t="shared" si="320"/>
        <v>61267.777777777781</v>
      </c>
      <c r="O283" s="122">
        <v>55141</v>
      </c>
      <c r="P283" s="122">
        <v>1</v>
      </c>
      <c r="Q283" s="26">
        <v>55141</v>
      </c>
      <c r="R283" s="122">
        <v>1</v>
      </c>
      <c r="S283" s="122">
        <f t="shared" si="261"/>
        <v>0</v>
      </c>
      <c r="T283" s="122"/>
      <c r="U283" s="26">
        <f t="shared" si="315"/>
        <v>55141</v>
      </c>
      <c r="V283" s="122">
        <f t="shared" si="315"/>
        <v>1</v>
      </c>
      <c r="W283" s="122">
        <v>55141</v>
      </c>
      <c r="X283" s="122">
        <f t="shared" si="316"/>
        <v>1</v>
      </c>
      <c r="Y283" s="122"/>
      <c r="Z283" s="122">
        <f t="shared" si="317"/>
        <v>0</v>
      </c>
      <c r="AA283" s="122">
        <v>0</v>
      </c>
      <c r="AB283" s="122"/>
      <c r="AC283" s="26">
        <f t="shared" si="325"/>
        <v>55141</v>
      </c>
      <c r="AD283" s="122">
        <f t="shared" si="325"/>
        <v>1</v>
      </c>
      <c r="AE283" s="122">
        <v>55141</v>
      </c>
      <c r="AF283" s="122">
        <f t="shared" si="318"/>
        <v>1</v>
      </c>
      <c r="AG283" s="122"/>
      <c r="AH283" s="122">
        <f t="shared" si="319"/>
        <v>0</v>
      </c>
      <c r="AI283" s="122">
        <f t="shared" si="321"/>
        <v>6126.7777777777774</v>
      </c>
      <c r="AJ283" s="122">
        <v>1</v>
      </c>
      <c r="AK283" s="122"/>
      <c r="AL283" s="122">
        <v>0</v>
      </c>
      <c r="AM283" s="122">
        <v>0</v>
      </c>
      <c r="AN283" s="122">
        <f t="shared" si="265"/>
        <v>0</v>
      </c>
      <c r="AO283" s="122"/>
      <c r="AP283" s="122">
        <f t="shared" si="322"/>
        <v>0</v>
      </c>
      <c r="AQ283" s="122"/>
      <c r="AR283" s="34">
        <f t="shared" si="324"/>
        <v>0</v>
      </c>
      <c r="AS283" s="10">
        <f t="shared" si="324"/>
        <v>0</v>
      </c>
      <c r="AT283" s="10">
        <v>0</v>
      </c>
      <c r="AU283" s="10">
        <f t="shared" si="302"/>
        <v>0</v>
      </c>
      <c r="AV283" s="10"/>
      <c r="AW283" s="10">
        <f t="shared" si="303"/>
        <v>0</v>
      </c>
      <c r="AX283" s="10">
        <f t="shared" si="323"/>
        <v>0</v>
      </c>
      <c r="AY283" s="10"/>
      <c r="AZ283" s="10"/>
      <c r="BA283" s="10">
        <v>0</v>
      </c>
      <c r="BB283" s="10">
        <v>0</v>
      </c>
      <c r="BC283" s="10">
        <f t="shared" si="266"/>
        <v>0</v>
      </c>
      <c r="BD283" s="10"/>
      <c r="BE283" s="26">
        <f t="shared" si="298"/>
        <v>0</v>
      </c>
      <c r="BF283" s="122">
        <f t="shared" si="298"/>
        <v>0</v>
      </c>
      <c r="BG283" s="122"/>
      <c r="BH283" s="122">
        <f t="shared" si="299"/>
        <v>0</v>
      </c>
      <c r="BI283" s="122"/>
      <c r="BJ283" s="122">
        <f t="shared" si="300"/>
        <v>0</v>
      </c>
      <c r="BK283" s="122"/>
      <c r="BL283" s="122"/>
      <c r="BM283" s="122"/>
      <c r="BN283" s="122" t="s">
        <v>596</v>
      </c>
      <c r="BO283" s="122" t="s">
        <v>1697</v>
      </c>
      <c r="BP283" s="122" t="s">
        <v>597</v>
      </c>
      <c r="BQ283" s="122" t="s">
        <v>598</v>
      </c>
      <c r="BR283" s="122" t="s">
        <v>609</v>
      </c>
      <c r="BS283" s="122" t="s">
        <v>586</v>
      </c>
      <c r="BT283" s="55" t="s">
        <v>11</v>
      </c>
    </row>
    <row r="284" spans="1:72" s="3" customFormat="1" ht="78.75" hidden="1" customHeight="1" outlineLevel="1" x14ac:dyDescent="0.25">
      <c r="A284" s="124"/>
      <c r="B284" s="59">
        <v>12</v>
      </c>
      <c r="C284" s="122" t="s">
        <v>1317</v>
      </c>
      <c r="D284" s="122" t="s">
        <v>1498</v>
      </c>
      <c r="E284" s="122" t="s">
        <v>9</v>
      </c>
      <c r="F284" s="122">
        <v>159437.69099999999</v>
      </c>
      <c r="G284" s="122">
        <v>152136</v>
      </c>
      <c r="H284" s="122">
        <v>149394</v>
      </c>
      <c r="I284" s="122">
        <f t="shared" si="314"/>
        <v>2742</v>
      </c>
      <c r="J284" s="122">
        <v>1</v>
      </c>
      <c r="K284" s="122">
        <v>1</v>
      </c>
      <c r="L284" s="122"/>
      <c r="M284" s="122">
        <v>105556</v>
      </c>
      <c r="N284" s="122">
        <f t="shared" si="320"/>
        <v>43837.777777777781</v>
      </c>
      <c r="O284" s="122">
        <v>41922</v>
      </c>
      <c r="P284" s="122">
        <v>1</v>
      </c>
      <c r="Q284" s="26">
        <v>41922</v>
      </c>
      <c r="R284" s="122">
        <v>1</v>
      </c>
      <c r="S284" s="122">
        <f t="shared" si="261"/>
        <v>2468</v>
      </c>
      <c r="T284" s="122"/>
      <c r="U284" s="26">
        <f t="shared" si="315"/>
        <v>39454</v>
      </c>
      <c r="V284" s="122">
        <f t="shared" si="315"/>
        <v>1</v>
      </c>
      <c r="W284" s="122">
        <v>39454</v>
      </c>
      <c r="X284" s="122">
        <f t="shared" si="316"/>
        <v>1</v>
      </c>
      <c r="Y284" s="122"/>
      <c r="Z284" s="122">
        <f t="shared" si="317"/>
        <v>0</v>
      </c>
      <c r="AA284" s="122">
        <v>0</v>
      </c>
      <c r="AB284" s="122"/>
      <c r="AC284" s="26">
        <f t="shared" si="325"/>
        <v>39454</v>
      </c>
      <c r="AD284" s="122">
        <f t="shared" si="325"/>
        <v>1</v>
      </c>
      <c r="AE284" s="122">
        <v>39454</v>
      </c>
      <c r="AF284" s="122">
        <f t="shared" si="318"/>
        <v>1</v>
      </c>
      <c r="AG284" s="122"/>
      <c r="AH284" s="122">
        <f t="shared" si="319"/>
        <v>0</v>
      </c>
      <c r="AI284" s="122">
        <f t="shared" si="321"/>
        <v>4383.7777777777774</v>
      </c>
      <c r="AJ284" s="122">
        <v>1</v>
      </c>
      <c r="AK284" s="122"/>
      <c r="AL284" s="122">
        <v>0</v>
      </c>
      <c r="AM284" s="122">
        <v>0</v>
      </c>
      <c r="AN284" s="122">
        <f t="shared" si="265"/>
        <v>0</v>
      </c>
      <c r="AO284" s="122"/>
      <c r="AP284" s="122">
        <f t="shared" si="322"/>
        <v>0</v>
      </c>
      <c r="AQ284" s="122"/>
      <c r="AR284" s="34">
        <f t="shared" si="324"/>
        <v>0</v>
      </c>
      <c r="AS284" s="10">
        <f t="shared" si="324"/>
        <v>0</v>
      </c>
      <c r="AT284" s="10">
        <v>0</v>
      </c>
      <c r="AU284" s="10">
        <f t="shared" si="302"/>
        <v>0</v>
      </c>
      <c r="AV284" s="10"/>
      <c r="AW284" s="10">
        <f t="shared" si="303"/>
        <v>0</v>
      </c>
      <c r="AX284" s="10">
        <f t="shared" si="323"/>
        <v>0</v>
      </c>
      <c r="AY284" s="10"/>
      <c r="AZ284" s="10"/>
      <c r="BA284" s="10">
        <v>0</v>
      </c>
      <c r="BB284" s="10">
        <v>0</v>
      </c>
      <c r="BC284" s="10">
        <f t="shared" si="266"/>
        <v>0</v>
      </c>
      <c r="BD284" s="10"/>
      <c r="BE284" s="26">
        <f t="shared" si="298"/>
        <v>0</v>
      </c>
      <c r="BF284" s="122">
        <f t="shared" si="298"/>
        <v>0</v>
      </c>
      <c r="BG284" s="122"/>
      <c r="BH284" s="122">
        <f t="shared" si="299"/>
        <v>0</v>
      </c>
      <c r="BI284" s="122"/>
      <c r="BJ284" s="122">
        <f t="shared" si="300"/>
        <v>0</v>
      </c>
      <c r="BK284" s="122"/>
      <c r="BL284" s="122"/>
      <c r="BM284" s="122"/>
      <c r="BN284" s="122" t="s">
        <v>599</v>
      </c>
      <c r="BO284" s="122" t="s">
        <v>1697</v>
      </c>
      <c r="BP284" s="122" t="s">
        <v>600</v>
      </c>
      <c r="BQ284" s="122" t="s">
        <v>598</v>
      </c>
      <c r="BR284" s="122" t="s">
        <v>601</v>
      </c>
      <c r="BS284" s="122" t="s">
        <v>586</v>
      </c>
      <c r="BT284" s="55" t="s">
        <v>11</v>
      </c>
    </row>
    <row r="285" spans="1:72" s="3" customFormat="1" ht="78.75" hidden="1" customHeight="1" outlineLevel="1" x14ac:dyDescent="0.25">
      <c r="A285" s="124"/>
      <c r="B285" s="59">
        <v>13</v>
      </c>
      <c r="C285" s="122" t="s">
        <v>1315</v>
      </c>
      <c r="D285" s="122" t="s">
        <v>606</v>
      </c>
      <c r="E285" s="122" t="s">
        <v>9</v>
      </c>
      <c r="F285" s="122">
        <v>179265.91</v>
      </c>
      <c r="G285" s="122">
        <v>171300</v>
      </c>
      <c r="H285" s="122">
        <v>168475</v>
      </c>
      <c r="I285" s="122">
        <f t="shared" si="314"/>
        <v>2825</v>
      </c>
      <c r="J285" s="122">
        <v>1</v>
      </c>
      <c r="K285" s="122">
        <v>1</v>
      </c>
      <c r="L285" s="122"/>
      <c r="M285" s="122">
        <v>89266</v>
      </c>
      <c r="N285" s="122">
        <f t="shared" si="320"/>
        <v>79208.888888888891</v>
      </c>
      <c r="O285" s="122">
        <v>73831</v>
      </c>
      <c r="P285" s="122">
        <v>1</v>
      </c>
      <c r="Q285" s="26">
        <v>73831</v>
      </c>
      <c r="R285" s="122">
        <v>1</v>
      </c>
      <c r="S285" s="122">
        <f t="shared" si="261"/>
        <v>2543</v>
      </c>
      <c r="T285" s="122"/>
      <c r="U285" s="26">
        <f t="shared" si="315"/>
        <v>71288</v>
      </c>
      <c r="V285" s="122">
        <f t="shared" si="315"/>
        <v>1</v>
      </c>
      <c r="W285" s="122">
        <v>71288</v>
      </c>
      <c r="X285" s="122">
        <f t="shared" si="316"/>
        <v>1</v>
      </c>
      <c r="Y285" s="122"/>
      <c r="Z285" s="122">
        <f t="shared" si="317"/>
        <v>0</v>
      </c>
      <c r="AA285" s="122">
        <v>0</v>
      </c>
      <c r="AB285" s="122"/>
      <c r="AC285" s="26">
        <f t="shared" si="325"/>
        <v>71288</v>
      </c>
      <c r="AD285" s="122">
        <f t="shared" si="325"/>
        <v>1</v>
      </c>
      <c r="AE285" s="122">
        <v>71288</v>
      </c>
      <c r="AF285" s="122">
        <f t="shared" si="318"/>
        <v>1</v>
      </c>
      <c r="AG285" s="122"/>
      <c r="AH285" s="122">
        <f t="shared" si="319"/>
        <v>0</v>
      </c>
      <c r="AI285" s="122">
        <f t="shared" si="321"/>
        <v>7920.8888888888896</v>
      </c>
      <c r="AJ285" s="122">
        <v>1</v>
      </c>
      <c r="AK285" s="122"/>
      <c r="AL285" s="122">
        <v>0</v>
      </c>
      <c r="AM285" s="122">
        <v>0</v>
      </c>
      <c r="AN285" s="122">
        <f t="shared" si="265"/>
        <v>0</v>
      </c>
      <c r="AO285" s="122"/>
      <c r="AP285" s="122">
        <f t="shared" si="322"/>
        <v>0</v>
      </c>
      <c r="AQ285" s="122"/>
      <c r="AR285" s="34">
        <f t="shared" si="324"/>
        <v>0</v>
      </c>
      <c r="AS285" s="10">
        <f t="shared" si="324"/>
        <v>0</v>
      </c>
      <c r="AT285" s="10">
        <v>0</v>
      </c>
      <c r="AU285" s="10">
        <f t="shared" si="302"/>
        <v>0</v>
      </c>
      <c r="AV285" s="10"/>
      <c r="AW285" s="10">
        <f t="shared" si="303"/>
        <v>0</v>
      </c>
      <c r="AX285" s="10">
        <f t="shared" si="323"/>
        <v>0</v>
      </c>
      <c r="AY285" s="10"/>
      <c r="AZ285" s="10"/>
      <c r="BA285" s="10">
        <v>0</v>
      </c>
      <c r="BB285" s="10">
        <v>0</v>
      </c>
      <c r="BC285" s="10">
        <f t="shared" si="266"/>
        <v>0</v>
      </c>
      <c r="BD285" s="10"/>
      <c r="BE285" s="26">
        <f t="shared" si="298"/>
        <v>0</v>
      </c>
      <c r="BF285" s="122">
        <f t="shared" si="298"/>
        <v>0</v>
      </c>
      <c r="BG285" s="122"/>
      <c r="BH285" s="122">
        <f t="shared" si="299"/>
        <v>0</v>
      </c>
      <c r="BI285" s="122"/>
      <c r="BJ285" s="122">
        <f t="shared" si="300"/>
        <v>0</v>
      </c>
      <c r="BK285" s="122"/>
      <c r="BL285" s="122"/>
      <c r="BM285" s="122"/>
      <c r="BN285" s="122" t="s">
        <v>607</v>
      </c>
      <c r="BO285" s="122" t="s">
        <v>1697</v>
      </c>
      <c r="BP285" s="122" t="s">
        <v>608</v>
      </c>
      <c r="BQ285" s="122" t="s">
        <v>598</v>
      </c>
      <c r="BR285" s="122" t="s">
        <v>609</v>
      </c>
      <c r="BS285" s="122" t="s">
        <v>586</v>
      </c>
      <c r="BT285" s="55" t="s">
        <v>11</v>
      </c>
    </row>
    <row r="286" spans="1:72" s="3" customFormat="1" ht="69" hidden="1" customHeight="1" outlineLevel="1" x14ac:dyDescent="0.25">
      <c r="A286" s="124"/>
      <c r="B286" s="59">
        <v>14</v>
      </c>
      <c r="C286" s="122" t="s">
        <v>1316</v>
      </c>
      <c r="D286" s="122" t="s">
        <v>610</v>
      </c>
      <c r="E286" s="122" t="s">
        <v>9</v>
      </c>
      <c r="F286" s="122">
        <v>182962</v>
      </c>
      <c r="G286" s="122">
        <v>174993</v>
      </c>
      <c r="H286" s="122">
        <v>169039</v>
      </c>
      <c r="I286" s="122">
        <f t="shared" si="314"/>
        <v>5954</v>
      </c>
      <c r="J286" s="122">
        <v>1</v>
      </c>
      <c r="K286" s="122">
        <v>1</v>
      </c>
      <c r="L286" s="122"/>
      <c r="M286" s="122">
        <v>92962</v>
      </c>
      <c r="N286" s="122">
        <f t="shared" si="320"/>
        <v>76076.666666666672</v>
      </c>
      <c r="O286" s="122">
        <v>73828</v>
      </c>
      <c r="P286" s="122">
        <v>1</v>
      </c>
      <c r="Q286" s="26">
        <v>73828</v>
      </c>
      <c r="R286" s="122">
        <v>1</v>
      </c>
      <c r="S286" s="122">
        <f t="shared" si="261"/>
        <v>5359</v>
      </c>
      <c r="T286" s="122"/>
      <c r="U286" s="26">
        <f t="shared" si="315"/>
        <v>43469</v>
      </c>
      <c r="V286" s="122">
        <f t="shared" si="315"/>
        <v>1</v>
      </c>
      <c r="W286" s="122">
        <v>43469</v>
      </c>
      <c r="X286" s="122">
        <f t="shared" si="316"/>
        <v>1</v>
      </c>
      <c r="Y286" s="122"/>
      <c r="Z286" s="122">
        <f t="shared" si="317"/>
        <v>0</v>
      </c>
      <c r="AA286" s="122"/>
      <c r="AB286" s="122">
        <v>25000</v>
      </c>
      <c r="AC286" s="26">
        <f t="shared" si="325"/>
        <v>68469</v>
      </c>
      <c r="AD286" s="122">
        <f t="shared" si="325"/>
        <v>1</v>
      </c>
      <c r="AE286" s="122">
        <f>43469+25000</f>
        <v>68469</v>
      </c>
      <c r="AF286" s="122">
        <f t="shared" si="318"/>
        <v>1</v>
      </c>
      <c r="AG286" s="122"/>
      <c r="AH286" s="122">
        <f t="shared" si="319"/>
        <v>0</v>
      </c>
      <c r="AI286" s="122">
        <f t="shared" si="321"/>
        <v>7607.6666666666679</v>
      </c>
      <c r="AJ286" s="122">
        <v>1</v>
      </c>
      <c r="AK286" s="122"/>
      <c r="AL286" s="122">
        <v>0</v>
      </c>
      <c r="AM286" s="122">
        <v>0</v>
      </c>
      <c r="AN286" s="122">
        <f t="shared" si="265"/>
        <v>-25000</v>
      </c>
      <c r="AO286" s="122"/>
      <c r="AP286" s="122">
        <f t="shared" si="322"/>
        <v>-25000</v>
      </c>
      <c r="AQ286" s="122"/>
      <c r="AR286" s="34">
        <f t="shared" si="324"/>
        <v>25000</v>
      </c>
      <c r="AS286" s="10">
        <f t="shared" si="324"/>
        <v>1</v>
      </c>
      <c r="AT286" s="10">
        <v>25000</v>
      </c>
      <c r="AU286" s="10">
        <f t="shared" si="302"/>
        <v>1</v>
      </c>
      <c r="AV286" s="10"/>
      <c r="AW286" s="10">
        <f t="shared" si="303"/>
        <v>0</v>
      </c>
      <c r="AX286" s="10">
        <f t="shared" si="323"/>
        <v>2777.7777777777778</v>
      </c>
      <c r="AY286" s="10"/>
      <c r="AZ286" s="10"/>
      <c r="BA286" s="10">
        <v>0</v>
      </c>
      <c r="BB286" s="10">
        <v>0</v>
      </c>
      <c r="BC286" s="10">
        <f t="shared" si="266"/>
        <v>0</v>
      </c>
      <c r="BD286" s="10"/>
      <c r="BE286" s="26">
        <f t="shared" si="298"/>
        <v>0</v>
      </c>
      <c r="BF286" s="122">
        <f t="shared" si="298"/>
        <v>0</v>
      </c>
      <c r="BG286" s="122"/>
      <c r="BH286" s="122">
        <f t="shared" si="299"/>
        <v>0</v>
      </c>
      <c r="BI286" s="122"/>
      <c r="BJ286" s="122">
        <f t="shared" si="300"/>
        <v>0</v>
      </c>
      <c r="BK286" s="122"/>
      <c r="BL286" s="122"/>
      <c r="BM286" s="122"/>
      <c r="BN286" s="122" t="s">
        <v>611</v>
      </c>
      <c r="BO286" s="122" t="s">
        <v>1697</v>
      </c>
      <c r="BP286" s="122" t="s">
        <v>612</v>
      </c>
      <c r="BQ286" s="122" t="s">
        <v>613</v>
      </c>
      <c r="BR286" s="122" t="s">
        <v>614</v>
      </c>
      <c r="BS286" s="122" t="s">
        <v>586</v>
      </c>
      <c r="BT286" s="55" t="s">
        <v>11</v>
      </c>
    </row>
    <row r="287" spans="1:72" s="3" customFormat="1" ht="83.25" hidden="1" customHeight="1" outlineLevel="1" x14ac:dyDescent="0.25">
      <c r="A287" s="124"/>
      <c r="B287" s="59">
        <v>15</v>
      </c>
      <c r="C287" s="122" t="s">
        <v>1318</v>
      </c>
      <c r="D287" s="122" t="s">
        <v>633</v>
      </c>
      <c r="E287" s="122" t="s">
        <v>9</v>
      </c>
      <c r="F287" s="122">
        <v>159008</v>
      </c>
      <c r="G287" s="122">
        <v>150977.29999999999</v>
      </c>
      <c r="H287" s="122">
        <v>148466</v>
      </c>
      <c r="I287" s="122">
        <f t="shared" si="314"/>
        <v>2511.2999999999884</v>
      </c>
      <c r="J287" s="122">
        <v>1</v>
      </c>
      <c r="K287" s="122">
        <v>1</v>
      </c>
      <c r="L287" s="122"/>
      <c r="M287" s="122">
        <v>99008</v>
      </c>
      <c r="N287" s="122">
        <f t="shared" si="320"/>
        <v>49457.777777777781</v>
      </c>
      <c r="O287" s="122">
        <v>46772</v>
      </c>
      <c r="P287" s="122">
        <v>1</v>
      </c>
      <c r="Q287" s="26">
        <v>46772</v>
      </c>
      <c r="R287" s="122">
        <v>1</v>
      </c>
      <c r="S287" s="122">
        <f t="shared" si="261"/>
        <v>2260</v>
      </c>
      <c r="T287" s="122"/>
      <c r="U287" s="26">
        <f t="shared" si="315"/>
        <v>44512</v>
      </c>
      <c r="V287" s="122">
        <f t="shared" si="315"/>
        <v>1</v>
      </c>
      <c r="W287" s="122">
        <v>44512</v>
      </c>
      <c r="X287" s="122">
        <f t="shared" si="316"/>
        <v>1</v>
      </c>
      <c r="Y287" s="122"/>
      <c r="Z287" s="122">
        <f t="shared" si="317"/>
        <v>0</v>
      </c>
      <c r="AA287" s="122">
        <v>0</v>
      </c>
      <c r="AB287" s="122"/>
      <c r="AC287" s="26">
        <f t="shared" si="325"/>
        <v>44512</v>
      </c>
      <c r="AD287" s="122">
        <f t="shared" si="325"/>
        <v>1</v>
      </c>
      <c r="AE287" s="122">
        <v>44512</v>
      </c>
      <c r="AF287" s="122">
        <f t="shared" si="318"/>
        <v>1</v>
      </c>
      <c r="AG287" s="122"/>
      <c r="AH287" s="122">
        <f t="shared" si="319"/>
        <v>0</v>
      </c>
      <c r="AI287" s="122">
        <f t="shared" si="321"/>
        <v>4945.7777777777774</v>
      </c>
      <c r="AJ287" s="122">
        <v>1</v>
      </c>
      <c r="AK287" s="122"/>
      <c r="AL287" s="122">
        <v>0</v>
      </c>
      <c r="AM287" s="122">
        <v>0</v>
      </c>
      <c r="AN287" s="122">
        <f t="shared" si="265"/>
        <v>0</v>
      </c>
      <c r="AO287" s="122"/>
      <c r="AP287" s="122">
        <f t="shared" si="322"/>
        <v>0</v>
      </c>
      <c r="AQ287" s="122"/>
      <c r="AR287" s="34">
        <f t="shared" si="324"/>
        <v>0</v>
      </c>
      <c r="AS287" s="10">
        <f t="shared" si="324"/>
        <v>0</v>
      </c>
      <c r="AT287" s="10">
        <v>0</v>
      </c>
      <c r="AU287" s="10">
        <f t="shared" si="302"/>
        <v>0</v>
      </c>
      <c r="AV287" s="10"/>
      <c r="AW287" s="10">
        <f t="shared" si="303"/>
        <v>0</v>
      </c>
      <c r="AX287" s="10">
        <f t="shared" si="323"/>
        <v>0</v>
      </c>
      <c r="AY287" s="10"/>
      <c r="AZ287" s="10"/>
      <c r="BA287" s="10">
        <v>0</v>
      </c>
      <c r="BB287" s="10">
        <v>0</v>
      </c>
      <c r="BC287" s="10">
        <f t="shared" si="266"/>
        <v>0</v>
      </c>
      <c r="BD287" s="10"/>
      <c r="BE287" s="26">
        <f t="shared" si="298"/>
        <v>0</v>
      </c>
      <c r="BF287" s="122">
        <f t="shared" si="298"/>
        <v>0</v>
      </c>
      <c r="BG287" s="122"/>
      <c r="BH287" s="122">
        <f t="shared" si="299"/>
        <v>0</v>
      </c>
      <c r="BI287" s="122"/>
      <c r="BJ287" s="122">
        <f t="shared" si="300"/>
        <v>0</v>
      </c>
      <c r="BK287" s="122"/>
      <c r="BL287" s="122"/>
      <c r="BM287" s="122"/>
      <c r="BN287" s="122" t="s">
        <v>634</v>
      </c>
      <c r="BO287" s="122" t="s">
        <v>1697</v>
      </c>
      <c r="BP287" s="122" t="s">
        <v>635</v>
      </c>
      <c r="BQ287" s="122" t="s">
        <v>620</v>
      </c>
      <c r="BR287" s="122" t="s">
        <v>614</v>
      </c>
      <c r="BS287" s="122" t="s">
        <v>575</v>
      </c>
      <c r="BT287" s="55" t="s">
        <v>11</v>
      </c>
    </row>
    <row r="288" spans="1:72" s="3" customFormat="1" ht="69.75" hidden="1" customHeight="1" outlineLevel="1" x14ac:dyDescent="0.25">
      <c r="A288" s="124"/>
      <c r="B288" s="59">
        <v>16</v>
      </c>
      <c r="C288" s="122" t="s">
        <v>1319</v>
      </c>
      <c r="D288" s="122" t="s">
        <v>641</v>
      </c>
      <c r="E288" s="122" t="s">
        <v>9</v>
      </c>
      <c r="F288" s="122">
        <v>283009.55</v>
      </c>
      <c r="G288" s="122">
        <v>277337.90000000002</v>
      </c>
      <c r="H288" s="122">
        <v>275551</v>
      </c>
      <c r="I288" s="122">
        <f t="shared" si="314"/>
        <v>1786.9000000000233</v>
      </c>
      <c r="J288" s="122">
        <v>1</v>
      </c>
      <c r="K288" s="122">
        <v>1</v>
      </c>
      <c r="L288" s="122"/>
      <c r="M288" s="122">
        <v>163010</v>
      </c>
      <c r="N288" s="122">
        <f t="shared" si="320"/>
        <v>112541.11111111111</v>
      </c>
      <c r="O288" s="122">
        <v>102895</v>
      </c>
      <c r="P288" s="122">
        <v>1</v>
      </c>
      <c r="Q288" s="26">
        <v>102895</v>
      </c>
      <c r="R288" s="122">
        <v>1</v>
      </c>
      <c r="S288" s="122">
        <f t="shared" ref="S288:S324" si="326">Q288-AC288</f>
        <v>1608</v>
      </c>
      <c r="T288" s="122"/>
      <c r="U288" s="26">
        <f t="shared" si="315"/>
        <v>101287</v>
      </c>
      <c r="V288" s="122">
        <f t="shared" si="315"/>
        <v>1</v>
      </c>
      <c r="W288" s="122">
        <v>101287</v>
      </c>
      <c r="X288" s="122">
        <f t="shared" si="316"/>
        <v>1</v>
      </c>
      <c r="Y288" s="122"/>
      <c r="Z288" s="122">
        <f t="shared" si="317"/>
        <v>0</v>
      </c>
      <c r="AA288" s="122">
        <v>0</v>
      </c>
      <c r="AB288" s="122"/>
      <c r="AC288" s="26">
        <f t="shared" si="325"/>
        <v>101287</v>
      </c>
      <c r="AD288" s="122">
        <f t="shared" si="325"/>
        <v>1</v>
      </c>
      <c r="AE288" s="122">
        <v>101287</v>
      </c>
      <c r="AF288" s="122">
        <f t="shared" si="318"/>
        <v>1</v>
      </c>
      <c r="AG288" s="122"/>
      <c r="AH288" s="122">
        <f t="shared" si="319"/>
        <v>0</v>
      </c>
      <c r="AI288" s="122">
        <f t="shared" si="321"/>
        <v>11254.111111111111</v>
      </c>
      <c r="AJ288" s="122">
        <v>1</v>
      </c>
      <c r="AK288" s="122"/>
      <c r="AL288" s="122">
        <v>0</v>
      </c>
      <c r="AM288" s="122">
        <v>0</v>
      </c>
      <c r="AN288" s="122">
        <f t="shared" ref="AN288:AN324" si="327">AL288-AR288</f>
        <v>0</v>
      </c>
      <c r="AO288" s="122"/>
      <c r="AP288" s="122">
        <f t="shared" si="322"/>
        <v>0</v>
      </c>
      <c r="AQ288" s="122"/>
      <c r="AR288" s="34">
        <f t="shared" si="324"/>
        <v>0</v>
      </c>
      <c r="AS288" s="10">
        <f t="shared" si="324"/>
        <v>0</v>
      </c>
      <c r="AT288" s="10">
        <v>0</v>
      </c>
      <c r="AU288" s="10">
        <f t="shared" si="302"/>
        <v>0</v>
      </c>
      <c r="AV288" s="10"/>
      <c r="AW288" s="10">
        <f t="shared" si="303"/>
        <v>0</v>
      </c>
      <c r="AX288" s="10">
        <f t="shared" si="323"/>
        <v>0</v>
      </c>
      <c r="AY288" s="10"/>
      <c r="AZ288" s="10"/>
      <c r="BA288" s="10">
        <v>0</v>
      </c>
      <c r="BB288" s="10">
        <v>0</v>
      </c>
      <c r="BC288" s="10">
        <f t="shared" ref="BC288:BC324" si="328">BA288-BE288</f>
        <v>0</v>
      </c>
      <c r="BD288" s="10"/>
      <c r="BE288" s="26">
        <f t="shared" si="298"/>
        <v>0</v>
      </c>
      <c r="BF288" s="122">
        <f t="shared" si="298"/>
        <v>0</v>
      </c>
      <c r="BG288" s="122"/>
      <c r="BH288" s="122">
        <f t="shared" si="299"/>
        <v>0</v>
      </c>
      <c r="BI288" s="122"/>
      <c r="BJ288" s="122">
        <f t="shared" si="300"/>
        <v>0</v>
      </c>
      <c r="BK288" s="122"/>
      <c r="BL288" s="122"/>
      <c r="BM288" s="122"/>
      <c r="BN288" s="122" t="s">
        <v>642</v>
      </c>
      <c r="BO288" s="122" t="s">
        <v>1697</v>
      </c>
      <c r="BP288" s="122" t="s">
        <v>643</v>
      </c>
      <c r="BQ288" s="122" t="s">
        <v>626</v>
      </c>
      <c r="BR288" s="122" t="s">
        <v>573</v>
      </c>
      <c r="BS288" s="122" t="s">
        <v>586</v>
      </c>
      <c r="BT288" s="55" t="s">
        <v>11</v>
      </c>
    </row>
    <row r="289" spans="1:73" s="3" customFormat="1" ht="84" hidden="1" customHeight="1" outlineLevel="1" x14ac:dyDescent="0.25">
      <c r="A289" s="124"/>
      <c r="B289" s="59">
        <v>17</v>
      </c>
      <c r="C289" s="122" t="s">
        <v>1320</v>
      </c>
      <c r="D289" s="122" t="s">
        <v>1499</v>
      </c>
      <c r="E289" s="122" t="s">
        <v>9</v>
      </c>
      <c r="F289" s="122">
        <v>165320</v>
      </c>
      <c r="G289" s="122">
        <v>159426</v>
      </c>
      <c r="H289" s="26"/>
      <c r="I289" s="122">
        <f t="shared" si="314"/>
        <v>159426</v>
      </c>
      <c r="J289" s="122">
        <v>1</v>
      </c>
      <c r="K289" s="122">
        <v>1</v>
      </c>
      <c r="L289" s="122"/>
      <c r="M289" s="122">
        <v>85320</v>
      </c>
      <c r="N289" s="122">
        <f t="shared" si="320"/>
        <v>74105.555555555562</v>
      </c>
      <c r="O289" s="122">
        <v>66695</v>
      </c>
      <c r="P289" s="122">
        <v>1</v>
      </c>
      <c r="Q289" s="26">
        <v>66695</v>
      </c>
      <c r="R289" s="122">
        <v>1</v>
      </c>
      <c r="S289" s="122">
        <f t="shared" si="326"/>
        <v>0</v>
      </c>
      <c r="T289" s="122"/>
      <c r="U289" s="26">
        <f t="shared" si="315"/>
        <v>66695</v>
      </c>
      <c r="V289" s="122">
        <f t="shared" si="315"/>
        <v>1</v>
      </c>
      <c r="W289" s="122">
        <v>66695</v>
      </c>
      <c r="X289" s="122">
        <f t="shared" si="316"/>
        <v>1</v>
      </c>
      <c r="Y289" s="122"/>
      <c r="Z289" s="122">
        <f t="shared" si="317"/>
        <v>0</v>
      </c>
      <c r="AA289" s="122">
        <v>0</v>
      </c>
      <c r="AB289" s="122"/>
      <c r="AC289" s="26">
        <f t="shared" si="325"/>
        <v>66695</v>
      </c>
      <c r="AD289" s="122">
        <f t="shared" si="325"/>
        <v>1</v>
      </c>
      <c r="AE289" s="122">
        <v>66695</v>
      </c>
      <c r="AF289" s="122">
        <f t="shared" si="318"/>
        <v>1</v>
      </c>
      <c r="AG289" s="122"/>
      <c r="AH289" s="122">
        <f t="shared" si="319"/>
        <v>0</v>
      </c>
      <c r="AI289" s="122">
        <f t="shared" si="321"/>
        <v>7410.5555555555547</v>
      </c>
      <c r="AJ289" s="122">
        <v>1</v>
      </c>
      <c r="AK289" s="122"/>
      <c r="AL289" s="122">
        <v>0</v>
      </c>
      <c r="AM289" s="122">
        <v>0</v>
      </c>
      <c r="AN289" s="122">
        <f t="shared" si="327"/>
        <v>0</v>
      </c>
      <c r="AO289" s="122"/>
      <c r="AP289" s="122">
        <f t="shared" si="322"/>
        <v>0</v>
      </c>
      <c r="AQ289" s="122"/>
      <c r="AR289" s="34">
        <f t="shared" si="324"/>
        <v>0</v>
      </c>
      <c r="AS289" s="10">
        <f t="shared" si="324"/>
        <v>0</v>
      </c>
      <c r="AT289" s="10">
        <v>0</v>
      </c>
      <c r="AU289" s="10">
        <f t="shared" si="302"/>
        <v>0</v>
      </c>
      <c r="AV289" s="10"/>
      <c r="AW289" s="10">
        <f t="shared" si="303"/>
        <v>0</v>
      </c>
      <c r="AX289" s="10">
        <f t="shared" si="323"/>
        <v>0</v>
      </c>
      <c r="AY289" s="10"/>
      <c r="AZ289" s="10"/>
      <c r="BA289" s="10">
        <v>0</v>
      </c>
      <c r="BB289" s="10">
        <v>0</v>
      </c>
      <c r="BC289" s="10">
        <f t="shared" si="328"/>
        <v>0</v>
      </c>
      <c r="BD289" s="10"/>
      <c r="BE289" s="26">
        <f t="shared" si="298"/>
        <v>0</v>
      </c>
      <c r="BF289" s="122">
        <f t="shared" si="298"/>
        <v>0</v>
      </c>
      <c r="BG289" s="122"/>
      <c r="BH289" s="122">
        <f t="shared" si="299"/>
        <v>0</v>
      </c>
      <c r="BI289" s="122"/>
      <c r="BJ289" s="122">
        <f t="shared" si="300"/>
        <v>0</v>
      </c>
      <c r="BK289" s="122"/>
      <c r="BL289" s="122"/>
      <c r="BM289" s="122"/>
      <c r="BN289" s="122" t="s">
        <v>647</v>
      </c>
      <c r="BO289" s="122" t="s">
        <v>1697</v>
      </c>
      <c r="BP289" s="122" t="s">
        <v>1206</v>
      </c>
      <c r="BQ289" s="122" t="s">
        <v>646</v>
      </c>
      <c r="BR289" s="122" t="s">
        <v>630</v>
      </c>
      <c r="BS289" s="122" t="s">
        <v>586</v>
      </c>
      <c r="BT289" s="55" t="s">
        <v>11</v>
      </c>
    </row>
    <row r="290" spans="1:73" s="3" customFormat="1" ht="82.5" hidden="1" customHeight="1" outlineLevel="1" x14ac:dyDescent="0.25">
      <c r="A290" s="124"/>
      <c r="B290" s="59">
        <v>18</v>
      </c>
      <c r="C290" s="122" t="s">
        <v>1321</v>
      </c>
      <c r="D290" s="122" t="s">
        <v>652</v>
      </c>
      <c r="E290" s="122" t="s">
        <v>9</v>
      </c>
      <c r="F290" s="122">
        <v>145282.55600000001</v>
      </c>
      <c r="G290" s="122">
        <v>138179.992</v>
      </c>
      <c r="H290" s="122">
        <v>130648</v>
      </c>
      <c r="I290" s="122">
        <f t="shared" si="314"/>
        <v>7531.9919999999984</v>
      </c>
      <c r="J290" s="122">
        <v>1</v>
      </c>
      <c r="K290" s="122">
        <v>1</v>
      </c>
      <c r="L290" s="122"/>
      <c r="M290" s="122">
        <v>50000</v>
      </c>
      <c r="N290" s="122">
        <f t="shared" si="320"/>
        <v>80647.777777777781</v>
      </c>
      <c r="O290" s="122">
        <v>79362</v>
      </c>
      <c r="P290" s="122">
        <v>1</v>
      </c>
      <c r="Q290" s="26">
        <v>79362</v>
      </c>
      <c r="R290" s="122">
        <v>1</v>
      </c>
      <c r="S290" s="122">
        <f t="shared" si="326"/>
        <v>6779</v>
      </c>
      <c r="T290" s="122"/>
      <c r="U290" s="26">
        <f t="shared" si="315"/>
        <v>72583</v>
      </c>
      <c r="V290" s="122">
        <f t="shared" si="315"/>
        <v>1</v>
      </c>
      <c r="W290" s="122">
        <v>72583</v>
      </c>
      <c r="X290" s="122">
        <f t="shared" si="316"/>
        <v>1</v>
      </c>
      <c r="Y290" s="122"/>
      <c r="Z290" s="122">
        <f t="shared" si="317"/>
        <v>0</v>
      </c>
      <c r="AA290" s="122">
        <v>0</v>
      </c>
      <c r="AB290" s="122"/>
      <c r="AC290" s="26">
        <f t="shared" si="325"/>
        <v>72583</v>
      </c>
      <c r="AD290" s="122">
        <f t="shared" si="325"/>
        <v>1</v>
      </c>
      <c r="AE290" s="122">
        <v>72583</v>
      </c>
      <c r="AF290" s="122">
        <f t="shared" si="318"/>
        <v>1</v>
      </c>
      <c r="AG290" s="122"/>
      <c r="AH290" s="122">
        <f t="shared" si="319"/>
        <v>0</v>
      </c>
      <c r="AI290" s="122">
        <f t="shared" si="321"/>
        <v>8064.7777777777783</v>
      </c>
      <c r="AJ290" s="122">
        <v>1</v>
      </c>
      <c r="AK290" s="122"/>
      <c r="AL290" s="122">
        <v>0</v>
      </c>
      <c r="AM290" s="122">
        <v>0</v>
      </c>
      <c r="AN290" s="122">
        <f t="shared" si="327"/>
        <v>0</v>
      </c>
      <c r="AO290" s="122"/>
      <c r="AP290" s="122">
        <f t="shared" si="322"/>
        <v>0</v>
      </c>
      <c r="AQ290" s="122"/>
      <c r="AR290" s="34">
        <f t="shared" si="324"/>
        <v>0</v>
      </c>
      <c r="AS290" s="10">
        <f t="shared" si="324"/>
        <v>0</v>
      </c>
      <c r="AT290" s="10">
        <v>0</v>
      </c>
      <c r="AU290" s="10">
        <f t="shared" si="302"/>
        <v>0</v>
      </c>
      <c r="AV290" s="10"/>
      <c r="AW290" s="10">
        <f t="shared" si="303"/>
        <v>0</v>
      </c>
      <c r="AX290" s="10">
        <f t="shared" si="323"/>
        <v>0</v>
      </c>
      <c r="AY290" s="10"/>
      <c r="AZ290" s="10"/>
      <c r="BA290" s="10">
        <v>0</v>
      </c>
      <c r="BB290" s="10">
        <v>0</v>
      </c>
      <c r="BC290" s="10">
        <f t="shared" si="328"/>
        <v>0</v>
      </c>
      <c r="BD290" s="10"/>
      <c r="BE290" s="26">
        <f t="shared" si="298"/>
        <v>0</v>
      </c>
      <c r="BF290" s="122">
        <f t="shared" si="298"/>
        <v>0</v>
      </c>
      <c r="BG290" s="122"/>
      <c r="BH290" s="122">
        <f t="shared" si="299"/>
        <v>0</v>
      </c>
      <c r="BI290" s="122"/>
      <c r="BJ290" s="122">
        <f t="shared" si="300"/>
        <v>0</v>
      </c>
      <c r="BK290" s="122"/>
      <c r="BL290" s="122"/>
      <c r="BM290" s="122"/>
      <c r="BN290" s="122" t="s">
        <v>653</v>
      </c>
      <c r="BO290" s="122" t="s">
        <v>1697</v>
      </c>
      <c r="BP290" s="122" t="s">
        <v>654</v>
      </c>
      <c r="BQ290" s="122" t="s">
        <v>598</v>
      </c>
      <c r="BR290" s="122" t="s">
        <v>609</v>
      </c>
      <c r="BS290" s="122" t="s">
        <v>586</v>
      </c>
      <c r="BT290" s="55" t="s">
        <v>11</v>
      </c>
    </row>
    <row r="291" spans="1:73" s="3" customFormat="1" ht="92.25" hidden="1" customHeight="1" outlineLevel="1" x14ac:dyDescent="0.25">
      <c r="A291" s="124"/>
      <c r="B291" s="59">
        <v>19</v>
      </c>
      <c r="C291" s="122" t="s">
        <v>1500</v>
      </c>
      <c r="D291" s="122" t="s">
        <v>661</v>
      </c>
      <c r="E291" s="122" t="s">
        <v>9</v>
      </c>
      <c r="F291" s="122">
        <v>188847.94</v>
      </c>
      <c r="G291" s="122">
        <v>184375</v>
      </c>
      <c r="H291" s="26"/>
      <c r="I291" s="122">
        <f t="shared" si="314"/>
        <v>184375</v>
      </c>
      <c r="J291" s="122">
        <v>1</v>
      </c>
      <c r="K291" s="122">
        <v>1</v>
      </c>
      <c r="L291" s="122"/>
      <c r="M291" s="122">
        <v>88848</v>
      </c>
      <c r="N291" s="122">
        <f t="shared" si="320"/>
        <v>95526.666666666672</v>
      </c>
      <c r="O291" s="122">
        <v>85974</v>
      </c>
      <c r="P291" s="122">
        <v>1</v>
      </c>
      <c r="Q291" s="26">
        <v>85974</v>
      </c>
      <c r="R291" s="122">
        <v>1</v>
      </c>
      <c r="S291" s="122">
        <f t="shared" si="326"/>
        <v>0</v>
      </c>
      <c r="T291" s="122"/>
      <c r="U291" s="26">
        <f t="shared" si="315"/>
        <v>85974</v>
      </c>
      <c r="V291" s="122">
        <f t="shared" si="315"/>
        <v>1</v>
      </c>
      <c r="W291" s="122">
        <v>85974</v>
      </c>
      <c r="X291" s="122">
        <f t="shared" si="316"/>
        <v>1</v>
      </c>
      <c r="Y291" s="122"/>
      <c r="Z291" s="122">
        <f t="shared" si="317"/>
        <v>0</v>
      </c>
      <c r="AA291" s="122">
        <v>0</v>
      </c>
      <c r="AB291" s="122"/>
      <c r="AC291" s="26">
        <f t="shared" si="325"/>
        <v>85974</v>
      </c>
      <c r="AD291" s="122">
        <f t="shared" si="325"/>
        <v>1</v>
      </c>
      <c r="AE291" s="122">
        <v>85974</v>
      </c>
      <c r="AF291" s="122">
        <f t="shared" si="318"/>
        <v>1</v>
      </c>
      <c r="AG291" s="122"/>
      <c r="AH291" s="122">
        <f t="shared" si="319"/>
        <v>0</v>
      </c>
      <c r="AI291" s="122">
        <f t="shared" si="321"/>
        <v>9552.6666666666679</v>
      </c>
      <c r="AJ291" s="122">
        <v>1</v>
      </c>
      <c r="AK291" s="122"/>
      <c r="AL291" s="122">
        <v>0</v>
      </c>
      <c r="AM291" s="122">
        <v>0</v>
      </c>
      <c r="AN291" s="122">
        <f t="shared" si="327"/>
        <v>0</v>
      </c>
      <c r="AO291" s="122"/>
      <c r="AP291" s="122">
        <f t="shared" si="322"/>
        <v>0</v>
      </c>
      <c r="AQ291" s="122"/>
      <c r="AR291" s="34">
        <f t="shared" si="324"/>
        <v>0</v>
      </c>
      <c r="AS291" s="10">
        <f t="shared" si="324"/>
        <v>0</v>
      </c>
      <c r="AT291" s="10">
        <v>0</v>
      </c>
      <c r="AU291" s="10">
        <f t="shared" si="302"/>
        <v>0</v>
      </c>
      <c r="AV291" s="10"/>
      <c r="AW291" s="10">
        <f t="shared" si="303"/>
        <v>0</v>
      </c>
      <c r="AX291" s="10">
        <f t="shared" si="323"/>
        <v>0</v>
      </c>
      <c r="AY291" s="10"/>
      <c r="AZ291" s="10"/>
      <c r="BA291" s="10">
        <v>0</v>
      </c>
      <c r="BB291" s="10">
        <v>0</v>
      </c>
      <c r="BC291" s="10">
        <f t="shared" si="328"/>
        <v>0</v>
      </c>
      <c r="BD291" s="10"/>
      <c r="BE291" s="26">
        <f t="shared" si="298"/>
        <v>0</v>
      </c>
      <c r="BF291" s="122">
        <f t="shared" si="298"/>
        <v>0</v>
      </c>
      <c r="BG291" s="122"/>
      <c r="BH291" s="122">
        <f t="shared" si="299"/>
        <v>0</v>
      </c>
      <c r="BI291" s="122"/>
      <c r="BJ291" s="122">
        <f t="shared" si="300"/>
        <v>0</v>
      </c>
      <c r="BK291" s="122"/>
      <c r="BL291" s="122"/>
      <c r="BM291" s="122"/>
      <c r="BN291" s="122" t="s">
        <v>662</v>
      </c>
      <c r="BO291" s="122" t="s">
        <v>1698</v>
      </c>
      <c r="BP291" s="122" t="s">
        <v>663</v>
      </c>
      <c r="BQ291" s="122" t="s">
        <v>626</v>
      </c>
      <c r="BR291" s="122" t="s">
        <v>573</v>
      </c>
      <c r="BS291" s="122" t="s">
        <v>586</v>
      </c>
      <c r="BT291" s="55" t="s">
        <v>11</v>
      </c>
    </row>
    <row r="292" spans="1:73" s="3" customFormat="1" ht="72.75" hidden="1" customHeight="1" outlineLevel="1" x14ac:dyDescent="0.25">
      <c r="A292" s="124"/>
      <c r="B292" s="59">
        <v>20</v>
      </c>
      <c r="C292" s="122" t="s">
        <v>1322</v>
      </c>
      <c r="D292" s="122" t="s">
        <v>665</v>
      </c>
      <c r="E292" s="122" t="s">
        <v>9</v>
      </c>
      <c r="F292" s="122">
        <v>158319.45000000001</v>
      </c>
      <c r="G292" s="122">
        <v>154480</v>
      </c>
      <c r="H292" s="26"/>
      <c r="I292" s="122">
        <f t="shared" si="314"/>
        <v>154480</v>
      </c>
      <c r="J292" s="122">
        <v>1</v>
      </c>
      <c r="K292" s="122">
        <v>1</v>
      </c>
      <c r="L292" s="122"/>
      <c r="M292" s="122">
        <v>78319</v>
      </c>
      <c r="N292" s="122">
        <f t="shared" si="320"/>
        <v>76161.111111111109</v>
      </c>
      <c r="O292" s="122">
        <v>68545</v>
      </c>
      <c r="P292" s="122">
        <v>1</v>
      </c>
      <c r="Q292" s="26">
        <v>68545</v>
      </c>
      <c r="R292" s="122">
        <v>1</v>
      </c>
      <c r="S292" s="122">
        <f t="shared" si="326"/>
        <v>0</v>
      </c>
      <c r="T292" s="122"/>
      <c r="U292" s="26">
        <f t="shared" si="315"/>
        <v>68545</v>
      </c>
      <c r="V292" s="122">
        <f t="shared" si="315"/>
        <v>1</v>
      </c>
      <c r="W292" s="122">
        <v>68545</v>
      </c>
      <c r="X292" s="122">
        <f t="shared" si="316"/>
        <v>1</v>
      </c>
      <c r="Y292" s="122"/>
      <c r="Z292" s="122">
        <f t="shared" si="317"/>
        <v>0</v>
      </c>
      <c r="AA292" s="122">
        <v>0</v>
      </c>
      <c r="AB292" s="122"/>
      <c r="AC292" s="26">
        <f t="shared" si="325"/>
        <v>68545</v>
      </c>
      <c r="AD292" s="122">
        <f t="shared" si="325"/>
        <v>1</v>
      </c>
      <c r="AE292" s="122">
        <v>68545</v>
      </c>
      <c r="AF292" s="122">
        <f t="shared" si="318"/>
        <v>1</v>
      </c>
      <c r="AG292" s="122"/>
      <c r="AH292" s="122">
        <f t="shared" si="319"/>
        <v>0</v>
      </c>
      <c r="AI292" s="122">
        <f t="shared" si="321"/>
        <v>7616.1111111111113</v>
      </c>
      <c r="AJ292" s="122">
        <v>1</v>
      </c>
      <c r="AK292" s="122"/>
      <c r="AL292" s="122">
        <v>0</v>
      </c>
      <c r="AM292" s="122">
        <v>0</v>
      </c>
      <c r="AN292" s="122">
        <f t="shared" si="327"/>
        <v>0</v>
      </c>
      <c r="AO292" s="122"/>
      <c r="AP292" s="122">
        <f t="shared" si="322"/>
        <v>0</v>
      </c>
      <c r="AQ292" s="122"/>
      <c r="AR292" s="34">
        <f t="shared" si="324"/>
        <v>0</v>
      </c>
      <c r="AS292" s="10">
        <f t="shared" si="324"/>
        <v>0</v>
      </c>
      <c r="AT292" s="10">
        <v>0</v>
      </c>
      <c r="AU292" s="10">
        <f t="shared" si="302"/>
        <v>0</v>
      </c>
      <c r="AV292" s="10"/>
      <c r="AW292" s="10">
        <f t="shared" si="303"/>
        <v>0</v>
      </c>
      <c r="AX292" s="10">
        <f t="shared" si="323"/>
        <v>0</v>
      </c>
      <c r="AY292" s="10"/>
      <c r="AZ292" s="10"/>
      <c r="BA292" s="10">
        <v>0</v>
      </c>
      <c r="BB292" s="10">
        <v>0</v>
      </c>
      <c r="BC292" s="10">
        <f t="shared" si="328"/>
        <v>0</v>
      </c>
      <c r="BD292" s="10"/>
      <c r="BE292" s="26">
        <f t="shared" si="298"/>
        <v>0</v>
      </c>
      <c r="BF292" s="122">
        <f t="shared" si="298"/>
        <v>0</v>
      </c>
      <c r="BG292" s="122"/>
      <c r="BH292" s="122">
        <f t="shared" si="299"/>
        <v>0</v>
      </c>
      <c r="BI292" s="122"/>
      <c r="BJ292" s="122">
        <f t="shared" si="300"/>
        <v>0</v>
      </c>
      <c r="BK292" s="122"/>
      <c r="BL292" s="122"/>
      <c r="BM292" s="122"/>
      <c r="BN292" s="122" t="s">
        <v>664</v>
      </c>
      <c r="BO292" s="122" t="s">
        <v>1698</v>
      </c>
      <c r="BP292" s="122" t="s">
        <v>666</v>
      </c>
      <c r="BQ292" s="122" t="s">
        <v>660</v>
      </c>
      <c r="BR292" s="122" t="s">
        <v>573</v>
      </c>
      <c r="BS292" s="122" t="s">
        <v>575</v>
      </c>
      <c r="BT292" s="55" t="s">
        <v>11</v>
      </c>
    </row>
    <row r="293" spans="1:73" s="3" customFormat="1" ht="72" hidden="1" customHeight="1" outlineLevel="1" x14ac:dyDescent="0.25">
      <c r="A293" s="124"/>
      <c r="B293" s="59">
        <v>21</v>
      </c>
      <c r="C293" s="122" t="s">
        <v>1323</v>
      </c>
      <c r="D293" s="122" t="s">
        <v>668</v>
      </c>
      <c r="E293" s="122" t="s">
        <v>9</v>
      </c>
      <c r="F293" s="122">
        <v>198538.78</v>
      </c>
      <c r="G293" s="122">
        <v>193923</v>
      </c>
      <c r="H293" s="26"/>
      <c r="I293" s="122">
        <f t="shared" si="314"/>
        <v>193923</v>
      </c>
      <c r="J293" s="122">
        <v>1</v>
      </c>
      <c r="K293" s="122">
        <v>1</v>
      </c>
      <c r="L293" s="122"/>
      <c r="M293" s="122">
        <v>98539</v>
      </c>
      <c r="N293" s="122">
        <f t="shared" si="320"/>
        <v>95384.444444444438</v>
      </c>
      <c r="O293" s="122">
        <v>85846</v>
      </c>
      <c r="P293" s="122">
        <v>1</v>
      </c>
      <c r="Q293" s="26">
        <v>85846</v>
      </c>
      <c r="R293" s="122">
        <v>1</v>
      </c>
      <c r="S293" s="122">
        <f t="shared" si="326"/>
        <v>0</v>
      </c>
      <c r="T293" s="122"/>
      <c r="U293" s="26">
        <f t="shared" si="315"/>
        <v>85846</v>
      </c>
      <c r="V293" s="122">
        <f t="shared" si="315"/>
        <v>1</v>
      </c>
      <c r="W293" s="122">
        <v>85846</v>
      </c>
      <c r="X293" s="122">
        <f t="shared" si="316"/>
        <v>1</v>
      </c>
      <c r="Y293" s="122"/>
      <c r="Z293" s="122">
        <f t="shared" si="317"/>
        <v>0</v>
      </c>
      <c r="AA293" s="122">
        <v>0</v>
      </c>
      <c r="AB293" s="122"/>
      <c r="AC293" s="26">
        <f t="shared" si="325"/>
        <v>85846</v>
      </c>
      <c r="AD293" s="122">
        <f t="shared" si="325"/>
        <v>1</v>
      </c>
      <c r="AE293" s="122">
        <v>85846</v>
      </c>
      <c r="AF293" s="122">
        <f t="shared" si="318"/>
        <v>1</v>
      </c>
      <c r="AG293" s="122"/>
      <c r="AH293" s="122">
        <f t="shared" si="319"/>
        <v>0</v>
      </c>
      <c r="AI293" s="122">
        <f t="shared" si="321"/>
        <v>9538.4444444444434</v>
      </c>
      <c r="AJ293" s="122">
        <v>1</v>
      </c>
      <c r="AK293" s="122"/>
      <c r="AL293" s="122">
        <v>0</v>
      </c>
      <c r="AM293" s="122">
        <v>0</v>
      </c>
      <c r="AN293" s="122">
        <f t="shared" si="327"/>
        <v>0</v>
      </c>
      <c r="AO293" s="122"/>
      <c r="AP293" s="122">
        <f t="shared" si="322"/>
        <v>0</v>
      </c>
      <c r="AQ293" s="122"/>
      <c r="AR293" s="34">
        <f t="shared" si="324"/>
        <v>0</v>
      </c>
      <c r="AS293" s="10">
        <f t="shared" si="324"/>
        <v>0</v>
      </c>
      <c r="AT293" s="10">
        <v>0</v>
      </c>
      <c r="AU293" s="10">
        <f t="shared" si="302"/>
        <v>0</v>
      </c>
      <c r="AV293" s="10"/>
      <c r="AW293" s="10">
        <f t="shared" si="303"/>
        <v>0</v>
      </c>
      <c r="AX293" s="10">
        <f t="shared" si="323"/>
        <v>0</v>
      </c>
      <c r="AY293" s="10"/>
      <c r="AZ293" s="10"/>
      <c r="BA293" s="10">
        <v>0</v>
      </c>
      <c r="BB293" s="10">
        <v>0</v>
      </c>
      <c r="BC293" s="10">
        <f t="shared" si="328"/>
        <v>0</v>
      </c>
      <c r="BD293" s="10"/>
      <c r="BE293" s="26">
        <f t="shared" si="298"/>
        <v>0</v>
      </c>
      <c r="BF293" s="122">
        <f t="shared" si="298"/>
        <v>0</v>
      </c>
      <c r="BG293" s="122"/>
      <c r="BH293" s="122">
        <f t="shared" si="299"/>
        <v>0</v>
      </c>
      <c r="BI293" s="122"/>
      <c r="BJ293" s="122">
        <f t="shared" si="300"/>
        <v>0</v>
      </c>
      <c r="BK293" s="122"/>
      <c r="BL293" s="122"/>
      <c r="BM293" s="122"/>
      <c r="BN293" s="122" t="s">
        <v>667</v>
      </c>
      <c r="BO293" s="122" t="s">
        <v>1698</v>
      </c>
      <c r="BP293" s="122" t="s">
        <v>669</v>
      </c>
      <c r="BQ293" s="122" t="s">
        <v>640</v>
      </c>
      <c r="BR293" s="122" t="s">
        <v>573</v>
      </c>
      <c r="BS293" s="122" t="s">
        <v>586</v>
      </c>
      <c r="BT293" s="55" t="s">
        <v>11</v>
      </c>
    </row>
    <row r="294" spans="1:73" s="3" customFormat="1" ht="85.5" hidden="1" customHeight="1" outlineLevel="1" x14ac:dyDescent="0.25">
      <c r="A294" s="124"/>
      <c r="B294" s="59">
        <v>22</v>
      </c>
      <c r="C294" s="122" t="s">
        <v>1324</v>
      </c>
      <c r="D294" s="122" t="s">
        <v>671</v>
      </c>
      <c r="E294" s="122" t="s">
        <v>9</v>
      </c>
      <c r="F294" s="122">
        <v>214390</v>
      </c>
      <c r="G294" s="122">
        <v>210032</v>
      </c>
      <c r="H294" s="26"/>
      <c r="I294" s="122">
        <f t="shared" si="314"/>
        <v>210032</v>
      </c>
      <c r="J294" s="122">
        <v>1</v>
      </c>
      <c r="K294" s="122">
        <v>1</v>
      </c>
      <c r="L294" s="122"/>
      <c r="M294" s="122">
        <v>100000</v>
      </c>
      <c r="N294" s="122">
        <f t="shared" si="320"/>
        <v>110032.22222222222</v>
      </c>
      <c r="O294" s="122">
        <v>99029</v>
      </c>
      <c r="P294" s="122">
        <v>1</v>
      </c>
      <c r="Q294" s="26">
        <v>99029</v>
      </c>
      <c r="R294" s="122">
        <v>1</v>
      </c>
      <c r="S294" s="122">
        <f t="shared" si="326"/>
        <v>0</v>
      </c>
      <c r="T294" s="122"/>
      <c r="U294" s="26">
        <f t="shared" si="315"/>
        <v>99029</v>
      </c>
      <c r="V294" s="122">
        <f t="shared" si="315"/>
        <v>1</v>
      </c>
      <c r="W294" s="122">
        <v>99029</v>
      </c>
      <c r="X294" s="122">
        <f t="shared" si="316"/>
        <v>1</v>
      </c>
      <c r="Y294" s="122"/>
      <c r="Z294" s="122">
        <f t="shared" si="317"/>
        <v>0</v>
      </c>
      <c r="AA294" s="122">
        <v>0</v>
      </c>
      <c r="AB294" s="122"/>
      <c r="AC294" s="26">
        <f t="shared" si="325"/>
        <v>99029</v>
      </c>
      <c r="AD294" s="122">
        <f t="shared" si="325"/>
        <v>1</v>
      </c>
      <c r="AE294" s="122">
        <v>99029</v>
      </c>
      <c r="AF294" s="122">
        <f t="shared" si="318"/>
        <v>1</v>
      </c>
      <c r="AG294" s="122"/>
      <c r="AH294" s="122">
        <f t="shared" si="319"/>
        <v>0</v>
      </c>
      <c r="AI294" s="122">
        <f t="shared" si="321"/>
        <v>11003.222222222223</v>
      </c>
      <c r="AJ294" s="122">
        <v>1</v>
      </c>
      <c r="AK294" s="122"/>
      <c r="AL294" s="122">
        <v>0</v>
      </c>
      <c r="AM294" s="122">
        <v>0</v>
      </c>
      <c r="AN294" s="122">
        <f t="shared" si="327"/>
        <v>0</v>
      </c>
      <c r="AO294" s="122"/>
      <c r="AP294" s="122">
        <f t="shared" si="322"/>
        <v>0</v>
      </c>
      <c r="AQ294" s="122"/>
      <c r="AR294" s="34">
        <f t="shared" si="324"/>
        <v>0</v>
      </c>
      <c r="AS294" s="10">
        <f t="shared" si="324"/>
        <v>0</v>
      </c>
      <c r="AT294" s="10">
        <v>0</v>
      </c>
      <c r="AU294" s="10">
        <f t="shared" si="302"/>
        <v>0</v>
      </c>
      <c r="AV294" s="10"/>
      <c r="AW294" s="10">
        <f t="shared" si="303"/>
        <v>0</v>
      </c>
      <c r="AX294" s="10">
        <f t="shared" si="323"/>
        <v>0</v>
      </c>
      <c r="AY294" s="10"/>
      <c r="AZ294" s="10"/>
      <c r="BA294" s="10">
        <v>0</v>
      </c>
      <c r="BB294" s="10">
        <v>0</v>
      </c>
      <c r="BC294" s="10">
        <f t="shared" si="328"/>
        <v>0</v>
      </c>
      <c r="BD294" s="10"/>
      <c r="BE294" s="26">
        <f t="shared" si="298"/>
        <v>0</v>
      </c>
      <c r="BF294" s="122">
        <f t="shared" si="298"/>
        <v>0</v>
      </c>
      <c r="BG294" s="122"/>
      <c r="BH294" s="122">
        <f t="shared" si="299"/>
        <v>0</v>
      </c>
      <c r="BI294" s="122"/>
      <c r="BJ294" s="122">
        <f t="shared" si="300"/>
        <v>0</v>
      </c>
      <c r="BK294" s="122"/>
      <c r="BL294" s="122"/>
      <c r="BM294" s="122"/>
      <c r="BN294" s="122" t="s">
        <v>670</v>
      </c>
      <c r="BO294" s="122" t="s">
        <v>1699</v>
      </c>
      <c r="BP294" s="122" t="s">
        <v>672</v>
      </c>
      <c r="BQ294" s="122" t="s">
        <v>673</v>
      </c>
      <c r="BR294" s="122" t="s">
        <v>630</v>
      </c>
      <c r="BS294" s="122" t="s">
        <v>586</v>
      </c>
      <c r="BT294" s="55" t="s">
        <v>11</v>
      </c>
    </row>
    <row r="295" spans="1:73" s="3" customFormat="1" ht="69" hidden="1" customHeight="1" outlineLevel="1" x14ac:dyDescent="0.25">
      <c r="A295" s="124"/>
      <c r="B295" s="59">
        <v>23</v>
      </c>
      <c r="C295" s="122" t="s">
        <v>1325</v>
      </c>
      <c r="D295" s="122" t="s">
        <v>681</v>
      </c>
      <c r="E295" s="122" t="s">
        <v>9</v>
      </c>
      <c r="F295" s="122">
        <v>119285.90700000001</v>
      </c>
      <c r="G295" s="122">
        <v>111593</v>
      </c>
      <c r="H295" s="122">
        <v>93168</v>
      </c>
      <c r="I295" s="122">
        <f t="shared" si="314"/>
        <v>18425</v>
      </c>
      <c r="J295" s="122">
        <v>1</v>
      </c>
      <c r="K295" s="122">
        <v>1</v>
      </c>
      <c r="L295" s="122"/>
      <c r="M295" s="122">
        <v>44338</v>
      </c>
      <c r="N295" s="122">
        <f t="shared" si="320"/>
        <v>61592.222222222219</v>
      </c>
      <c r="O295" s="122">
        <v>55433</v>
      </c>
      <c r="P295" s="122">
        <v>1</v>
      </c>
      <c r="Q295" s="26">
        <v>55433</v>
      </c>
      <c r="R295" s="122">
        <v>1</v>
      </c>
      <c r="S295" s="122">
        <f t="shared" si="326"/>
        <v>0</v>
      </c>
      <c r="T295" s="122"/>
      <c r="U295" s="26">
        <f t="shared" si="315"/>
        <v>55433</v>
      </c>
      <c r="V295" s="122">
        <f t="shared" si="315"/>
        <v>1</v>
      </c>
      <c r="W295" s="122">
        <v>55433</v>
      </c>
      <c r="X295" s="122">
        <f t="shared" si="316"/>
        <v>1</v>
      </c>
      <c r="Y295" s="122"/>
      <c r="Z295" s="122">
        <f t="shared" si="317"/>
        <v>0</v>
      </c>
      <c r="AA295" s="122">
        <v>0</v>
      </c>
      <c r="AB295" s="122"/>
      <c r="AC295" s="26">
        <f t="shared" si="325"/>
        <v>55433</v>
      </c>
      <c r="AD295" s="122">
        <f t="shared" si="325"/>
        <v>1</v>
      </c>
      <c r="AE295" s="122">
        <v>55433</v>
      </c>
      <c r="AF295" s="122">
        <f t="shared" si="318"/>
        <v>1</v>
      </c>
      <c r="AG295" s="122"/>
      <c r="AH295" s="122">
        <f t="shared" si="319"/>
        <v>0</v>
      </c>
      <c r="AI295" s="122">
        <f t="shared" si="321"/>
        <v>6159.2222222222226</v>
      </c>
      <c r="AJ295" s="122">
        <v>1</v>
      </c>
      <c r="AK295" s="122"/>
      <c r="AL295" s="122">
        <v>0</v>
      </c>
      <c r="AM295" s="122">
        <v>0</v>
      </c>
      <c r="AN295" s="122">
        <f t="shared" si="327"/>
        <v>0</v>
      </c>
      <c r="AO295" s="122"/>
      <c r="AP295" s="122">
        <f t="shared" si="322"/>
        <v>0</v>
      </c>
      <c r="AQ295" s="122"/>
      <c r="AR295" s="34">
        <f t="shared" si="324"/>
        <v>0</v>
      </c>
      <c r="AS295" s="10">
        <f t="shared" si="324"/>
        <v>0</v>
      </c>
      <c r="AT295" s="10">
        <v>0</v>
      </c>
      <c r="AU295" s="10">
        <f t="shared" si="302"/>
        <v>0</v>
      </c>
      <c r="AV295" s="10"/>
      <c r="AW295" s="10">
        <f t="shared" si="303"/>
        <v>0</v>
      </c>
      <c r="AX295" s="10">
        <f t="shared" si="323"/>
        <v>0</v>
      </c>
      <c r="AY295" s="10"/>
      <c r="AZ295" s="10"/>
      <c r="BA295" s="10">
        <v>0</v>
      </c>
      <c r="BB295" s="10">
        <v>0</v>
      </c>
      <c r="BC295" s="10">
        <f t="shared" si="328"/>
        <v>0</v>
      </c>
      <c r="BD295" s="10"/>
      <c r="BE295" s="26">
        <f t="shared" si="298"/>
        <v>0</v>
      </c>
      <c r="BF295" s="122">
        <f t="shared" si="298"/>
        <v>0</v>
      </c>
      <c r="BG295" s="122"/>
      <c r="BH295" s="122">
        <f t="shared" si="299"/>
        <v>0</v>
      </c>
      <c r="BI295" s="122"/>
      <c r="BJ295" s="122">
        <f t="shared" si="300"/>
        <v>0</v>
      </c>
      <c r="BK295" s="122"/>
      <c r="BL295" s="122"/>
      <c r="BM295" s="122"/>
      <c r="BN295" s="122" t="s">
        <v>680</v>
      </c>
      <c r="BO295" s="122" t="s">
        <v>1700</v>
      </c>
      <c r="BP295" s="122" t="s">
        <v>682</v>
      </c>
      <c r="BQ295" s="122" t="s">
        <v>594</v>
      </c>
      <c r="BR295" s="122" t="s">
        <v>583</v>
      </c>
      <c r="BS295" s="122" t="s">
        <v>575</v>
      </c>
      <c r="BT295" s="55" t="s">
        <v>11</v>
      </c>
    </row>
    <row r="296" spans="1:73" s="3" customFormat="1" ht="80.25" hidden="1" customHeight="1" outlineLevel="1" x14ac:dyDescent="0.25">
      <c r="A296" s="124"/>
      <c r="B296" s="59">
        <v>24</v>
      </c>
      <c r="C296" s="122" t="s">
        <v>1326</v>
      </c>
      <c r="D296" s="122" t="s">
        <v>683</v>
      </c>
      <c r="E296" s="122" t="s">
        <v>9</v>
      </c>
      <c r="F296" s="122">
        <v>148105.04999999999</v>
      </c>
      <c r="G296" s="122">
        <v>139769.696</v>
      </c>
      <c r="H296" s="122">
        <v>136450</v>
      </c>
      <c r="I296" s="122">
        <f t="shared" si="314"/>
        <v>3319.6959999999963</v>
      </c>
      <c r="J296" s="122">
        <v>1</v>
      </c>
      <c r="K296" s="122">
        <v>1</v>
      </c>
      <c r="L296" s="122"/>
      <c r="M296" s="122">
        <v>70000</v>
      </c>
      <c r="N296" s="122">
        <f t="shared" si="320"/>
        <v>66450</v>
      </c>
      <c r="O296" s="122">
        <v>62793</v>
      </c>
      <c r="P296" s="122">
        <v>1</v>
      </c>
      <c r="Q296" s="26">
        <v>62793</v>
      </c>
      <c r="R296" s="122">
        <v>1</v>
      </c>
      <c r="S296" s="122">
        <f t="shared" si="326"/>
        <v>2988</v>
      </c>
      <c r="T296" s="122"/>
      <c r="U296" s="26">
        <f t="shared" si="315"/>
        <v>59805</v>
      </c>
      <c r="V296" s="122">
        <f t="shared" si="315"/>
        <v>1</v>
      </c>
      <c r="W296" s="122">
        <v>59805</v>
      </c>
      <c r="X296" s="122">
        <f t="shared" si="316"/>
        <v>1</v>
      </c>
      <c r="Y296" s="122"/>
      <c r="Z296" s="122">
        <f t="shared" si="317"/>
        <v>0</v>
      </c>
      <c r="AA296" s="122">
        <v>0</v>
      </c>
      <c r="AB296" s="122"/>
      <c r="AC296" s="26">
        <f t="shared" si="325"/>
        <v>59805</v>
      </c>
      <c r="AD296" s="122">
        <f t="shared" si="325"/>
        <v>1</v>
      </c>
      <c r="AE296" s="122">
        <v>59805</v>
      </c>
      <c r="AF296" s="122">
        <f t="shared" si="318"/>
        <v>1</v>
      </c>
      <c r="AG296" s="122"/>
      <c r="AH296" s="122">
        <f t="shared" si="319"/>
        <v>0</v>
      </c>
      <c r="AI296" s="122">
        <f t="shared" si="321"/>
        <v>6645</v>
      </c>
      <c r="AJ296" s="122">
        <v>1</v>
      </c>
      <c r="AK296" s="122"/>
      <c r="AL296" s="122">
        <v>0</v>
      </c>
      <c r="AM296" s="122">
        <v>0</v>
      </c>
      <c r="AN296" s="122">
        <f t="shared" si="327"/>
        <v>0</v>
      </c>
      <c r="AO296" s="122"/>
      <c r="AP296" s="122">
        <f t="shared" si="322"/>
        <v>0</v>
      </c>
      <c r="AQ296" s="122"/>
      <c r="AR296" s="34">
        <f t="shared" si="324"/>
        <v>0</v>
      </c>
      <c r="AS296" s="10">
        <f t="shared" si="324"/>
        <v>0</v>
      </c>
      <c r="AT296" s="10">
        <v>0</v>
      </c>
      <c r="AU296" s="10">
        <f t="shared" si="302"/>
        <v>0</v>
      </c>
      <c r="AV296" s="10"/>
      <c r="AW296" s="10">
        <f t="shared" si="303"/>
        <v>0</v>
      </c>
      <c r="AX296" s="10">
        <f t="shared" si="323"/>
        <v>0</v>
      </c>
      <c r="AY296" s="10"/>
      <c r="AZ296" s="10"/>
      <c r="BA296" s="10">
        <v>0</v>
      </c>
      <c r="BB296" s="10">
        <v>0</v>
      </c>
      <c r="BC296" s="10">
        <f t="shared" si="328"/>
        <v>0</v>
      </c>
      <c r="BD296" s="10"/>
      <c r="BE296" s="26">
        <f t="shared" si="298"/>
        <v>0</v>
      </c>
      <c r="BF296" s="122">
        <f t="shared" si="298"/>
        <v>0</v>
      </c>
      <c r="BG296" s="122"/>
      <c r="BH296" s="122">
        <f t="shared" si="299"/>
        <v>0</v>
      </c>
      <c r="BI296" s="122"/>
      <c r="BJ296" s="122">
        <f t="shared" si="300"/>
        <v>0</v>
      </c>
      <c r="BK296" s="122"/>
      <c r="BL296" s="122"/>
      <c r="BM296" s="122"/>
      <c r="BN296" s="122" t="s">
        <v>684</v>
      </c>
      <c r="BO296" s="122" t="s">
        <v>1700</v>
      </c>
      <c r="BP296" s="122" t="s">
        <v>685</v>
      </c>
      <c r="BQ296" s="122" t="s">
        <v>605</v>
      </c>
      <c r="BR296" s="122" t="s">
        <v>609</v>
      </c>
      <c r="BS296" s="122" t="s">
        <v>586</v>
      </c>
      <c r="BT296" s="55" t="s">
        <v>11</v>
      </c>
    </row>
    <row r="297" spans="1:73" s="3" customFormat="1" ht="87" hidden="1" customHeight="1" outlineLevel="1" x14ac:dyDescent="0.25">
      <c r="A297" s="124"/>
      <c r="B297" s="59">
        <v>25</v>
      </c>
      <c r="C297" s="122" t="s">
        <v>1327</v>
      </c>
      <c r="D297" s="122" t="s">
        <v>711</v>
      </c>
      <c r="E297" s="122" t="s">
        <v>9</v>
      </c>
      <c r="F297" s="122">
        <v>108589</v>
      </c>
      <c r="G297" s="122">
        <v>102507</v>
      </c>
      <c r="H297" s="122">
        <v>101535</v>
      </c>
      <c r="I297" s="122">
        <f t="shared" si="314"/>
        <v>972</v>
      </c>
      <c r="J297" s="122">
        <v>1</v>
      </c>
      <c r="K297" s="122">
        <v>1</v>
      </c>
      <c r="L297" s="122"/>
      <c r="M297" s="122">
        <v>50000</v>
      </c>
      <c r="N297" s="122">
        <f t="shared" si="320"/>
        <v>51534.444444444445</v>
      </c>
      <c r="O297" s="122">
        <v>47256</v>
      </c>
      <c r="P297" s="122">
        <v>1</v>
      </c>
      <c r="Q297" s="26">
        <v>47256</v>
      </c>
      <c r="R297" s="122">
        <v>1</v>
      </c>
      <c r="S297" s="122">
        <f t="shared" si="326"/>
        <v>875</v>
      </c>
      <c r="T297" s="122"/>
      <c r="U297" s="26">
        <f t="shared" si="315"/>
        <v>46381</v>
      </c>
      <c r="V297" s="122">
        <f t="shared" si="315"/>
        <v>1</v>
      </c>
      <c r="W297" s="122">
        <v>46381</v>
      </c>
      <c r="X297" s="122">
        <f t="shared" si="316"/>
        <v>1</v>
      </c>
      <c r="Y297" s="122"/>
      <c r="Z297" s="122">
        <f t="shared" si="317"/>
        <v>0</v>
      </c>
      <c r="AA297" s="122">
        <v>0</v>
      </c>
      <c r="AB297" s="122"/>
      <c r="AC297" s="26">
        <f t="shared" si="325"/>
        <v>46381</v>
      </c>
      <c r="AD297" s="122">
        <f t="shared" si="325"/>
        <v>1</v>
      </c>
      <c r="AE297" s="122">
        <v>46381</v>
      </c>
      <c r="AF297" s="122">
        <f t="shared" si="318"/>
        <v>1</v>
      </c>
      <c r="AG297" s="122"/>
      <c r="AH297" s="122">
        <f t="shared" si="319"/>
        <v>0</v>
      </c>
      <c r="AI297" s="122">
        <f t="shared" si="321"/>
        <v>5153.4444444444453</v>
      </c>
      <c r="AJ297" s="122">
        <v>1</v>
      </c>
      <c r="AK297" s="122"/>
      <c r="AL297" s="122">
        <v>0</v>
      </c>
      <c r="AM297" s="122">
        <v>0</v>
      </c>
      <c r="AN297" s="122">
        <f t="shared" si="327"/>
        <v>0</v>
      </c>
      <c r="AO297" s="122"/>
      <c r="AP297" s="122">
        <f t="shared" si="322"/>
        <v>0</v>
      </c>
      <c r="AQ297" s="122"/>
      <c r="AR297" s="34">
        <f t="shared" si="324"/>
        <v>0</v>
      </c>
      <c r="AS297" s="10">
        <f t="shared" si="324"/>
        <v>0</v>
      </c>
      <c r="AT297" s="10">
        <v>0</v>
      </c>
      <c r="AU297" s="10">
        <f t="shared" si="302"/>
        <v>0</v>
      </c>
      <c r="AV297" s="10"/>
      <c r="AW297" s="10">
        <f t="shared" si="303"/>
        <v>0</v>
      </c>
      <c r="AX297" s="10">
        <f t="shared" si="323"/>
        <v>0</v>
      </c>
      <c r="AY297" s="10"/>
      <c r="AZ297" s="10"/>
      <c r="BA297" s="10">
        <v>0</v>
      </c>
      <c r="BB297" s="10">
        <v>0</v>
      </c>
      <c r="BC297" s="10">
        <f t="shared" si="328"/>
        <v>0</v>
      </c>
      <c r="BD297" s="10"/>
      <c r="BE297" s="26">
        <f t="shared" si="298"/>
        <v>0</v>
      </c>
      <c r="BF297" s="122">
        <f t="shared" si="298"/>
        <v>0</v>
      </c>
      <c r="BG297" s="122"/>
      <c r="BH297" s="122">
        <f t="shared" si="299"/>
        <v>0</v>
      </c>
      <c r="BI297" s="122"/>
      <c r="BJ297" s="122">
        <f t="shared" si="300"/>
        <v>0</v>
      </c>
      <c r="BK297" s="122"/>
      <c r="BL297" s="122"/>
      <c r="BM297" s="122"/>
      <c r="BN297" s="122" t="s">
        <v>710</v>
      </c>
      <c r="BO297" s="122" t="s">
        <v>1701</v>
      </c>
      <c r="BP297" s="122" t="s">
        <v>712</v>
      </c>
      <c r="BQ297" s="122" t="s">
        <v>706</v>
      </c>
      <c r="BR297" s="122" t="s">
        <v>614</v>
      </c>
      <c r="BS297" s="122" t="s">
        <v>575</v>
      </c>
      <c r="BT297" s="55" t="s">
        <v>11</v>
      </c>
      <c r="BU297" s="3" t="s">
        <v>1737</v>
      </c>
    </row>
    <row r="298" spans="1:73" s="3" customFormat="1" ht="72.75" hidden="1" customHeight="1" outlineLevel="1" x14ac:dyDescent="0.25">
      <c r="A298" s="124"/>
      <c r="B298" s="59">
        <v>26</v>
      </c>
      <c r="C298" s="122" t="s">
        <v>1501</v>
      </c>
      <c r="D298" s="122" t="s">
        <v>713</v>
      </c>
      <c r="E298" s="122" t="s">
        <v>9</v>
      </c>
      <c r="F298" s="122">
        <v>69768</v>
      </c>
      <c r="G298" s="122">
        <v>65464</v>
      </c>
      <c r="H298" s="122">
        <v>62619</v>
      </c>
      <c r="I298" s="122">
        <f t="shared" si="314"/>
        <v>2845</v>
      </c>
      <c r="J298" s="122">
        <v>1</v>
      </c>
      <c r="K298" s="122">
        <v>1</v>
      </c>
      <c r="L298" s="122"/>
      <c r="M298" s="122">
        <v>30000</v>
      </c>
      <c r="N298" s="122">
        <f t="shared" si="320"/>
        <v>32618.888888888891</v>
      </c>
      <c r="O298" s="122">
        <v>31918</v>
      </c>
      <c r="P298" s="122">
        <v>1</v>
      </c>
      <c r="Q298" s="26">
        <v>31918</v>
      </c>
      <c r="R298" s="122">
        <v>1</v>
      </c>
      <c r="S298" s="122">
        <f t="shared" si="326"/>
        <v>2561</v>
      </c>
      <c r="T298" s="122"/>
      <c r="U298" s="26">
        <f t="shared" si="315"/>
        <v>29357</v>
      </c>
      <c r="V298" s="122">
        <f t="shared" si="315"/>
        <v>1</v>
      </c>
      <c r="W298" s="122">
        <v>29357</v>
      </c>
      <c r="X298" s="122">
        <f t="shared" si="316"/>
        <v>1</v>
      </c>
      <c r="Y298" s="122"/>
      <c r="Z298" s="122">
        <f t="shared" si="317"/>
        <v>0</v>
      </c>
      <c r="AA298" s="122">
        <v>0</v>
      </c>
      <c r="AB298" s="122"/>
      <c r="AC298" s="26">
        <f t="shared" si="325"/>
        <v>29357</v>
      </c>
      <c r="AD298" s="122">
        <f t="shared" si="325"/>
        <v>1</v>
      </c>
      <c r="AE298" s="122">
        <v>29357</v>
      </c>
      <c r="AF298" s="122">
        <f t="shared" si="318"/>
        <v>1</v>
      </c>
      <c r="AG298" s="122"/>
      <c r="AH298" s="122">
        <f t="shared" si="319"/>
        <v>0</v>
      </c>
      <c r="AI298" s="122">
        <f t="shared" si="321"/>
        <v>3261.8888888888887</v>
      </c>
      <c r="AJ298" s="122">
        <v>1</v>
      </c>
      <c r="AK298" s="122"/>
      <c r="AL298" s="122">
        <v>0</v>
      </c>
      <c r="AM298" s="122">
        <v>0</v>
      </c>
      <c r="AN298" s="122">
        <f t="shared" si="327"/>
        <v>0</v>
      </c>
      <c r="AO298" s="122"/>
      <c r="AP298" s="122">
        <f t="shared" si="322"/>
        <v>0</v>
      </c>
      <c r="AQ298" s="122"/>
      <c r="AR298" s="34">
        <f t="shared" si="324"/>
        <v>0</v>
      </c>
      <c r="AS298" s="10">
        <f t="shared" si="324"/>
        <v>0</v>
      </c>
      <c r="AT298" s="10">
        <v>0</v>
      </c>
      <c r="AU298" s="10">
        <f t="shared" si="302"/>
        <v>0</v>
      </c>
      <c r="AV298" s="10"/>
      <c r="AW298" s="10">
        <f t="shared" si="303"/>
        <v>0</v>
      </c>
      <c r="AX298" s="10">
        <f t="shared" si="323"/>
        <v>0</v>
      </c>
      <c r="AY298" s="10"/>
      <c r="AZ298" s="10"/>
      <c r="BA298" s="10">
        <v>0</v>
      </c>
      <c r="BB298" s="10">
        <v>0</v>
      </c>
      <c r="BC298" s="10">
        <f t="shared" si="328"/>
        <v>0</v>
      </c>
      <c r="BD298" s="10"/>
      <c r="BE298" s="26">
        <f t="shared" si="298"/>
        <v>0</v>
      </c>
      <c r="BF298" s="122">
        <f t="shared" si="298"/>
        <v>0</v>
      </c>
      <c r="BG298" s="122"/>
      <c r="BH298" s="122">
        <f t="shared" si="299"/>
        <v>0</v>
      </c>
      <c r="BI298" s="122"/>
      <c r="BJ298" s="122">
        <f t="shared" si="300"/>
        <v>0</v>
      </c>
      <c r="BK298" s="122"/>
      <c r="BL298" s="122"/>
      <c r="BM298" s="122"/>
      <c r="BN298" s="122" t="s">
        <v>714</v>
      </c>
      <c r="BO298" s="122" t="s">
        <v>1701</v>
      </c>
      <c r="BP298" s="122" t="s">
        <v>715</v>
      </c>
      <c r="BQ298" s="122" t="s">
        <v>706</v>
      </c>
      <c r="BR298" s="122" t="s">
        <v>614</v>
      </c>
      <c r="BS298" s="122" t="s">
        <v>586</v>
      </c>
      <c r="BT298" s="55" t="s">
        <v>11</v>
      </c>
    </row>
    <row r="299" spans="1:73" s="3" customFormat="1" ht="95.25" hidden="1" customHeight="1" outlineLevel="1" x14ac:dyDescent="0.25">
      <c r="A299" s="124"/>
      <c r="B299" s="59">
        <v>27</v>
      </c>
      <c r="C299" s="122" t="s">
        <v>1333</v>
      </c>
      <c r="D299" s="122" t="s">
        <v>704</v>
      </c>
      <c r="E299" s="122" t="s">
        <v>9</v>
      </c>
      <c r="F299" s="122">
        <v>117301</v>
      </c>
      <c r="G299" s="122">
        <v>110192</v>
      </c>
      <c r="H299" s="122">
        <v>109129</v>
      </c>
      <c r="I299" s="122">
        <f t="shared" si="314"/>
        <v>1063</v>
      </c>
      <c r="J299" s="122">
        <v>1</v>
      </c>
      <c r="K299" s="122">
        <v>1</v>
      </c>
      <c r="L299" s="122"/>
      <c r="M299" s="122">
        <v>55000</v>
      </c>
      <c r="N299" s="122">
        <f t="shared" si="320"/>
        <v>54128.888888888891</v>
      </c>
      <c r="O299" s="122">
        <v>49673</v>
      </c>
      <c r="P299" s="122">
        <v>1</v>
      </c>
      <c r="Q299" s="26">
        <v>49673</v>
      </c>
      <c r="R299" s="122">
        <v>1</v>
      </c>
      <c r="S299" s="122">
        <f t="shared" si="326"/>
        <v>957</v>
      </c>
      <c r="T299" s="122"/>
      <c r="U299" s="26">
        <f t="shared" si="315"/>
        <v>48716</v>
      </c>
      <c r="V299" s="122">
        <f t="shared" si="315"/>
        <v>1</v>
      </c>
      <c r="W299" s="122">
        <v>48716</v>
      </c>
      <c r="X299" s="122">
        <f t="shared" si="316"/>
        <v>1</v>
      </c>
      <c r="Y299" s="122"/>
      <c r="Z299" s="122">
        <f t="shared" si="317"/>
        <v>0</v>
      </c>
      <c r="AA299" s="122">
        <v>0</v>
      </c>
      <c r="AB299" s="122"/>
      <c r="AC299" s="26">
        <f t="shared" si="325"/>
        <v>48716</v>
      </c>
      <c r="AD299" s="122">
        <f t="shared" si="325"/>
        <v>1</v>
      </c>
      <c r="AE299" s="122">
        <v>48716</v>
      </c>
      <c r="AF299" s="122">
        <f t="shared" si="318"/>
        <v>1</v>
      </c>
      <c r="AG299" s="122"/>
      <c r="AH299" s="122">
        <f t="shared" si="319"/>
        <v>0</v>
      </c>
      <c r="AI299" s="122">
        <f t="shared" si="321"/>
        <v>5412.8888888888896</v>
      </c>
      <c r="AJ299" s="122">
        <v>1</v>
      </c>
      <c r="AK299" s="122"/>
      <c r="AL299" s="122">
        <v>0</v>
      </c>
      <c r="AM299" s="122">
        <v>0</v>
      </c>
      <c r="AN299" s="122">
        <f t="shared" si="327"/>
        <v>0</v>
      </c>
      <c r="AO299" s="122"/>
      <c r="AP299" s="122">
        <f t="shared" si="322"/>
        <v>0</v>
      </c>
      <c r="AQ299" s="122"/>
      <c r="AR299" s="34">
        <f t="shared" si="324"/>
        <v>0</v>
      </c>
      <c r="AS299" s="10">
        <f t="shared" si="324"/>
        <v>0</v>
      </c>
      <c r="AT299" s="10">
        <v>0</v>
      </c>
      <c r="AU299" s="10">
        <f t="shared" si="302"/>
        <v>0</v>
      </c>
      <c r="AV299" s="10"/>
      <c r="AW299" s="10">
        <f t="shared" si="303"/>
        <v>0</v>
      </c>
      <c r="AX299" s="10">
        <f t="shared" si="323"/>
        <v>0</v>
      </c>
      <c r="AY299" s="10"/>
      <c r="AZ299" s="10"/>
      <c r="BA299" s="10">
        <v>0</v>
      </c>
      <c r="BB299" s="10">
        <v>0</v>
      </c>
      <c r="BC299" s="10">
        <f t="shared" si="328"/>
        <v>0</v>
      </c>
      <c r="BD299" s="10"/>
      <c r="BE299" s="26">
        <f t="shared" si="298"/>
        <v>0</v>
      </c>
      <c r="BF299" s="122">
        <f t="shared" si="298"/>
        <v>0</v>
      </c>
      <c r="BG299" s="122"/>
      <c r="BH299" s="122">
        <f t="shared" si="299"/>
        <v>0</v>
      </c>
      <c r="BI299" s="122"/>
      <c r="BJ299" s="122">
        <f t="shared" si="300"/>
        <v>0</v>
      </c>
      <c r="BK299" s="122"/>
      <c r="BL299" s="122"/>
      <c r="BM299" s="122"/>
      <c r="BN299" s="122" t="s">
        <v>703</v>
      </c>
      <c r="BO299" s="122" t="s">
        <v>1701</v>
      </c>
      <c r="BP299" s="122" t="s">
        <v>705</v>
      </c>
      <c r="BQ299" s="122" t="s">
        <v>706</v>
      </c>
      <c r="BR299" s="122" t="s">
        <v>614</v>
      </c>
      <c r="BS299" s="122" t="s">
        <v>586</v>
      </c>
      <c r="BT299" s="55" t="s">
        <v>11</v>
      </c>
    </row>
    <row r="300" spans="1:73" s="3" customFormat="1" ht="84.75" hidden="1" customHeight="1" outlineLevel="1" x14ac:dyDescent="0.25">
      <c r="A300" s="124"/>
      <c r="B300" s="59">
        <v>28</v>
      </c>
      <c r="C300" s="122" t="s">
        <v>1334</v>
      </c>
      <c r="D300" s="122" t="s">
        <v>708</v>
      </c>
      <c r="E300" s="122" t="s">
        <v>9</v>
      </c>
      <c r="F300" s="122">
        <v>132284</v>
      </c>
      <c r="G300" s="122">
        <v>126001</v>
      </c>
      <c r="H300" s="122">
        <v>124781</v>
      </c>
      <c r="I300" s="122">
        <f t="shared" si="314"/>
        <v>1220</v>
      </c>
      <c r="J300" s="122">
        <v>1</v>
      </c>
      <c r="K300" s="122">
        <v>1</v>
      </c>
      <c r="L300" s="122"/>
      <c r="M300" s="122">
        <v>60000</v>
      </c>
      <c r="N300" s="122">
        <f t="shared" si="320"/>
        <v>64781.111111111109</v>
      </c>
      <c r="O300" s="122">
        <v>59401</v>
      </c>
      <c r="P300" s="122">
        <v>1</v>
      </c>
      <c r="Q300" s="26">
        <v>59401</v>
      </c>
      <c r="R300" s="122">
        <v>1</v>
      </c>
      <c r="S300" s="122">
        <f t="shared" si="326"/>
        <v>1098</v>
      </c>
      <c r="T300" s="122"/>
      <c r="U300" s="26">
        <f t="shared" si="315"/>
        <v>43303</v>
      </c>
      <c r="V300" s="122">
        <f t="shared" si="315"/>
        <v>1</v>
      </c>
      <c r="W300" s="122">
        <v>43303</v>
      </c>
      <c r="X300" s="122">
        <f t="shared" si="316"/>
        <v>1</v>
      </c>
      <c r="Y300" s="122"/>
      <c r="Z300" s="122">
        <f t="shared" si="317"/>
        <v>0</v>
      </c>
      <c r="AA300" s="122"/>
      <c r="AB300" s="122">
        <v>15000</v>
      </c>
      <c r="AC300" s="26">
        <f t="shared" si="325"/>
        <v>58303</v>
      </c>
      <c r="AD300" s="122">
        <f t="shared" si="325"/>
        <v>1</v>
      </c>
      <c r="AE300" s="122">
        <f>43303+15000</f>
        <v>58303</v>
      </c>
      <c r="AF300" s="122">
        <f t="shared" si="318"/>
        <v>1</v>
      </c>
      <c r="AG300" s="122"/>
      <c r="AH300" s="122">
        <f t="shared" si="319"/>
        <v>0</v>
      </c>
      <c r="AI300" s="122">
        <f t="shared" si="321"/>
        <v>6478.1111111111113</v>
      </c>
      <c r="AJ300" s="122">
        <v>1</v>
      </c>
      <c r="AK300" s="122"/>
      <c r="AL300" s="122">
        <v>0</v>
      </c>
      <c r="AM300" s="122">
        <v>0</v>
      </c>
      <c r="AN300" s="122">
        <f t="shared" si="327"/>
        <v>-15000</v>
      </c>
      <c r="AO300" s="122"/>
      <c r="AP300" s="122">
        <f t="shared" si="322"/>
        <v>-15000</v>
      </c>
      <c r="AQ300" s="122"/>
      <c r="AR300" s="34">
        <f t="shared" si="324"/>
        <v>15000</v>
      </c>
      <c r="AS300" s="10">
        <f t="shared" si="324"/>
        <v>1</v>
      </c>
      <c r="AT300" s="10">
        <v>15000</v>
      </c>
      <c r="AU300" s="10">
        <f t="shared" si="302"/>
        <v>1</v>
      </c>
      <c r="AV300" s="10"/>
      <c r="AW300" s="10">
        <f t="shared" si="303"/>
        <v>0</v>
      </c>
      <c r="AX300" s="10">
        <f t="shared" si="323"/>
        <v>1666.666666666667</v>
      </c>
      <c r="AY300" s="10"/>
      <c r="AZ300" s="10"/>
      <c r="BA300" s="10">
        <v>0</v>
      </c>
      <c r="BB300" s="10">
        <v>0</v>
      </c>
      <c r="BC300" s="10">
        <f t="shared" si="328"/>
        <v>0</v>
      </c>
      <c r="BD300" s="10"/>
      <c r="BE300" s="26">
        <f t="shared" si="298"/>
        <v>0</v>
      </c>
      <c r="BF300" s="122">
        <f t="shared" si="298"/>
        <v>0</v>
      </c>
      <c r="BG300" s="122"/>
      <c r="BH300" s="122">
        <f t="shared" si="299"/>
        <v>0</v>
      </c>
      <c r="BI300" s="122"/>
      <c r="BJ300" s="122">
        <f t="shared" si="300"/>
        <v>0</v>
      </c>
      <c r="BK300" s="122"/>
      <c r="BL300" s="122"/>
      <c r="BM300" s="122"/>
      <c r="BN300" s="122" t="s">
        <v>707</v>
      </c>
      <c r="BO300" s="122" t="s">
        <v>1701</v>
      </c>
      <c r="BP300" s="122" t="s">
        <v>709</v>
      </c>
      <c r="BQ300" s="122" t="s">
        <v>706</v>
      </c>
      <c r="BR300" s="122" t="s">
        <v>614</v>
      </c>
      <c r="BS300" s="122" t="s">
        <v>586</v>
      </c>
      <c r="BT300" s="55" t="s">
        <v>11</v>
      </c>
    </row>
    <row r="301" spans="1:73" s="3" customFormat="1" ht="84" hidden="1" customHeight="1" outlineLevel="1" x14ac:dyDescent="0.25">
      <c r="A301" s="124"/>
      <c r="B301" s="59">
        <v>29</v>
      </c>
      <c r="C301" s="122" t="s">
        <v>1335</v>
      </c>
      <c r="D301" s="122" t="s">
        <v>699</v>
      </c>
      <c r="E301" s="122" t="s">
        <v>9</v>
      </c>
      <c r="F301" s="122">
        <v>129831.823</v>
      </c>
      <c r="G301" s="122">
        <v>123117</v>
      </c>
      <c r="H301" s="122">
        <v>121893</v>
      </c>
      <c r="I301" s="122">
        <f t="shared" si="314"/>
        <v>1224</v>
      </c>
      <c r="J301" s="122">
        <v>1</v>
      </c>
      <c r="K301" s="122">
        <v>1</v>
      </c>
      <c r="L301" s="122"/>
      <c r="M301" s="122">
        <v>45590</v>
      </c>
      <c r="N301" s="122">
        <f t="shared" si="320"/>
        <v>76303.333333333328</v>
      </c>
      <c r="O301" s="122">
        <v>69774</v>
      </c>
      <c r="P301" s="122">
        <v>1</v>
      </c>
      <c r="Q301" s="26">
        <v>69774</v>
      </c>
      <c r="R301" s="122">
        <v>1</v>
      </c>
      <c r="S301" s="122">
        <f t="shared" si="326"/>
        <v>1101</v>
      </c>
      <c r="T301" s="122"/>
      <c r="U301" s="26">
        <f t="shared" si="315"/>
        <v>68673</v>
      </c>
      <c r="V301" s="122">
        <f t="shared" si="315"/>
        <v>1</v>
      </c>
      <c r="W301" s="122">
        <v>68673</v>
      </c>
      <c r="X301" s="122">
        <f t="shared" si="316"/>
        <v>1</v>
      </c>
      <c r="Y301" s="122"/>
      <c r="Z301" s="122">
        <f t="shared" si="317"/>
        <v>0</v>
      </c>
      <c r="AA301" s="122">
        <v>0</v>
      </c>
      <c r="AB301" s="122"/>
      <c r="AC301" s="26">
        <f t="shared" si="325"/>
        <v>68673</v>
      </c>
      <c r="AD301" s="122">
        <f t="shared" si="325"/>
        <v>1</v>
      </c>
      <c r="AE301" s="122">
        <v>68673</v>
      </c>
      <c r="AF301" s="122">
        <f t="shared" si="318"/>
        <v>1</v>
      </c>
      <c r="AG301" s="122"/>
      <c r="AH301" s="122">
        <f t="shared" si="319"/>
        <v>0</v>
      </c>
      <c r="AI301" s="122">
        <f t="shared" si="321"/>
        <v>7630.333333333333</v>
      </c>
      <c r="AJ301" s="122">
        <v>1</v>
      </c>
      <c r="AK301" s="122"/>
      <c r="AL301" s="122">
        <v>0</v>
      </c>
      <c r="AM301" s="122">
        <v>0</v>
      </c>
      <c r="AN301" s="122">
        <f t="shared" si="327"/>
        <v>0</v>
      </c>
      <c r="AO301" s="122"/>
      <c r="AP301" s="122">
        <f t="shared" si="322"/>
        <v>0</v>
      </c>
      <c r="AQ301" s="122"/>
      <c r="AR301" s="34">
        <f t="shared" si="324"/>
        <v>0</v>
      </c>
      <c r="AS301" s="10">
        <f t="shared" si="324"/>
        <v>0</v>
      </c>
      <c r="AT301" s="10">
        <v>0</v>
      </c>
      <c r="AU301" s="10">
        <f t="shared" si="302"/>
        <v>0</v>
      </c>
      <c r="AV301" s="10"/>
      <c r="AW301" s="10">
        <f t="shared" si="303"/>
        <v>0</v>
      </c>
      <c r="AX301" s="10">
        <f t="shared" si="323"/>
        <v>0</v>
      </c>
      <c r="AY301" s="10"/>
      <c r="AZ301" s="10"/>
      <c r="BA301" s="10">
        <v>0</v>
      </c>
      <c r="BB301" s="10">
        <v>0</v>
      </c>
      <c r="BC301" s="10">
        <f t="shared" si="328"/>
        <v>0</v>
      </c>
      <c r="BD301" s="10"/>
      <c r="BE301" s="26">
        <f t="shared" si="298"/>
        <v>0</v>
      </c>
      <c r="BF301" s="122">
        <f t="shared" si="298"/>
        <v>0</v>
      </c>
      <c r="BG301" s="122"/>
      <c r="BH301" s="122">
        <f t="shared" si="299"/>
        <v>0</v>
      </c>
      <c r="BI301" s="122"/>
      <c r="BJ301" s="122">
        <f t="shared" si="300"/>
        <v>0</v>
      </c>
      <c r="BK301" s="122"/>
      <c r="BL301" s="122"/>
      <c r="BM301" s="122"/>
      <c r="BN301" s="122" t="s">
        <v>700</v>
      </c>
      <c r="BO301" s="122" t="s">
        <v>1700</v>
      </c>
      <c r="BP301" s="122" t="s">
        <v>701</v>
      </c>
      <c r="BQ301" s="122" t="s">
        <v>702</v>
      </c>
      <c r="BR301" s="122" t="s">
        <v>609</v>
      </c>
      <c r="BS301" s="122" t="s">
        <v>586</v>
      </c>
      <c r="BT301" s="55" t="s">
        <v>11</v>
      </c>
    </row>
    <row r="302" spans="1:73" s="3" customFormat="1" ht="73.5" hidden="1" customHeight="1" outlineLevel="1" x14ac:dyDescent="0.25">
      <c r="A302" s="124"/>
      <c r="B302" s="59"/>
      <c r="C302" s="112" t="s">
        <v>2051</v>
      </c>
      <c r="D302" s="122" t="s">
        <v>2083</v>
      </c>
      <c r="E302" s="122" t="s">
        <v>9</v>
      </c>
      <c r="F302" s="122">
        <v>84079.06</v>
      </c>
      <c r="G302" s="122">
        <v>82190.013999999996</v>
      </c>
      <c r="H302" s="122"/>
      <c r="I302" s="122"/>
      <c r="J302" s="122"/>
      <c r="K302" s="122"/>
      <c r="L302" s="122"/>
      <c r="M302" s="122">
        <v>80592</v>
      </c>
      <c r="N302" s="122">
        <f t="shared" si="320"/>
        <v>1597.7777777777778</v>
      </c>
      <c r="O302" s="122"/>
      <c r="P302" s="122"/>
      <c r="Q302" s="26"/>
      <c r="R302" s="122"/>
      <c r="S302" s="122"/>
      <c r="T302" s="122"/>
      <c r="U302" s="26"/>
      <c r="V302" s="122"/>
      <c r="W302" s="122"/>
      <c r="X302" s="122"/>
      <c r="Y302" s="122"/>
      <c r="Z302" s="122"/>
      <c r="AA302" s="122"/>
      <c r="AB302" s="122">
        <v>1438</v>
      </c>
      <c r="AC302" s="26">
        <f t="shared" si="325"/>
        <v>1438</v>
      </c>
      <c r="AD302" s="122"/>
      <c r="AE302" s="122">
        <v>1438</v>
      </c>
      <c r="AF302" s="122">
        <f t="shared" si="318"/>
        <v>1</v>
      </c>
      <c r="AG302" s="122"/>
      <c r="AH302" s="122"/>
      <c r="AI302" s="122">
        <f t="shared" si="321"/>
        <v>159.7777777777778</v>
      </c>
      <c r="AJ302" s="122"/>
      <c r="AK302" s="122"/>
      <c r="AL302" s="122"/>
      <c r="AM302" s="122"/>
      <c r="AN302" s="122"/>
      <c r="AO302" s="122"/>
      <c r="AP302" s="122">
        <f t="shared" si="322"/>
        <v>-1438</v>
      </c>
      <c r="AQ302" s="122"/>
      <c r="AR302" s="34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26"/>
      <c r="BF302" s="122"/>
      <c r="BG302" s="122"/>
      <c r="BH302" s="122"/>
      <c r="BI302" s="122"/>
      <c r="BJ302" s="122"/>
      <c r="BK302" s="122"/>
      <c r="BL302" s="122"/>
      <c r="BM302" s="122"/>
      <c r="BN302" s="122" t="s">
        <v>2052</v>
      </c>
      <c r="BO302" s="122" t="s">
        <v>2053</v>
      </c>
      <c r="BP302" s="122" t="s">
        <v>2054</v>
      </c>
      <c r="BQ302" s="122" t="s">
        <v>2055</v>
      </c>
      <c r="BR302" s="122" t="s">
        <v>2056</v>
      </c>
      <c r="BS302" s="122" t="s">
        <v>2057</v>
      </c>
      <c r="BT302" s="55"/>
    </row>
    <row r="303" spans="1:73" s="3" customFormat="1" ht="84" hidden="1" customHeight="1" outlineLevel="1" x14ac:dyDescent="0.25">
      <c r="A303" s="124"/>
      <c r="B303" s="59"/>
      <c r="C303" s="112" t="s">
        <v>2058</v>
      </c>
      <c r="D303" s="122" t="s">
        <v>2082</v>
      </c>
      <c r="E303" s="122" t="s">
        <v>9</v>
      </c>
      <c r="F303" s="122">
        <v>86773.26</v>
      </c>
      <c r="G303" s="122">
        <v>84056.98</v>
      </c>
      <c r="H303" s="122"/>
      <c r="I303" s="122"/>
      <c r="J303" s="122"/>
      <c r="K303" s="122"/>
      <c r="L303" s="122"/>
      <c r="M303" s="122">
        <v>83432</v>
      </c>
      <c r="N303" s="122">
        <f t="shared" si="320"/>
        <v>624.44444444444446</v>
      </c>
      <c r="O303" s="122"/>
      <c r="P303" s="122"/>
      <c r="Q303" s="26"/>
      <c r="R303" s="122"/>
      <c r="S303" s="122"/>
      <c r="T303" s="122"/>
      <c r="U303" s="26"/>
      <c r="V303" s="122"/>
      <c r="W303" s="122"/>
      <c r="X303" s="122"/>
      <c r="Y303" s="122"/>
      <c r="Z303" s="122"/>
      <c r="AA303" s="122"/>
      <c r="AB303" s="122">
        <v>562</v>
      </c>
      <c r="AC303" s="26">
        <f t="shared" si="325"/>
        <v>562</v>
      </c>
      <c r="AD303" s="122"/>
      <c r="AE303" s="122">
        <v>562</v>
      </c>
      <c r="AF303" s="122">
        <f t="shared" si="318"/>
        <v>1</v>
      </c>
      <c r="AG303" s="122"/>
      <c r="AH303" s="122"/>
      <c r="AI303" s="122">
        <f t="shared" si="321"/>
        <v>62.44444444444445</v>
      </c>
      <c r="AJ303" s="122"/>
      <c r="AK303" s="122"/>
      <c r="AL303" s="122"/>
      <c r="AM303" s="122"/>
      <c r="AN303" s="122"/>
      <c r="AO303" s="122"/>
      <c r="AP303" s="122">
        <f t="shared" si="322"/>
        <v>-562</v>
      </c>
      <c r="AQ303" s="122"/>
      <c r="AR303" s="34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26"/>
      <c r="BF303" s="122"/>
      <c r="BG303" s="122"/>
      <c r="BH303" s="122"/>
      <c r="BI303" s="122"/>
      <c r="BJ303" s="122"/>
      <c r="BK303" s="122"/>
      <c r="BL303" s="122"/>
      <c r="BM303" s="122"/>
      <c r="BN303" s="122"/>
      <c r="BO303" s="122"/>
      <c r="BP303" s="122"/>
      <c r="BQ303" s="122"/>
      <c r="BR303" s="122"/>
      <c r="BS303" s="122"/>
      <c r="BT303" s="55"/>
    </row>
    <row r="304" spans="1:73" s="3" customFormat="1" ht="88.5" hidden="1" customHeight="1" outlineLevel="1" x14ac:dyDescent="0.25">
      <c r="A304" s="124"/>
      <c r="B304" s="59">
        <v>30</v>
      </c>
      <c r="C304" s="69" t="s">
        <v>1336</v>
      </c>
      <c r="D304" s="122" t="s">
        <v>321</v>
      </c>
      <c r="E304" s="122">
        <v>2015</v>
      </c>
      <c r="F304" s="122">
        <v>598477</v>
      </c>
      <c r="G304" s="122">
        <v>589633</v>
      </c>
      <c r="H304" s="122"/>
      <c r="I304" s="122"/>
      <c r="J304" s="122"/>
      <c r="K304" s="122">
        <v>1</v>
      </c>
      <c r="L304" s="122"/>
      <c r="M304" s="122">
        <v>0</v>
      </c>
      <c r="N304" s="122">
        <f t="shared" si="320"/>
        <v>0</v>
      </c>
      <c r="O304" s="122">
        <v>265335</v>
      </c>
      <c r="P304" s="122">
        <v>1</v>
      </c>
      <c r="Q304" s="26">
        <v>0</v>
      </c>
      <c r="R304" s="122">
        <v>0</v>
      </c>
      <c r="S304" s="122">
        <f t="shared" si="326"/>
        <v>0</v>
      </c>
      <c r="T304" s="122"/>
      <c r="U304" s="26">
        <f t="shared" ref="U304:V319" si="329">W304+Y304</f>
        <v>0</v>
      </c>
      <c r="V304" s="122">
        <f t="shared" si="329"/>
        <v>0</v>
      </c>
      <c r="W304" s="122"/>
      <c r="X304" s="122">
        <f t="shared" ref="X304:X319" si="330">IF(W304,1,0)</f>
        <v>0</v>
      </c>
      <c r="Y304" s="122"/>
      <c r="Z304" s="122">
        <f t="shared" ref="Z304:Z319" si="331">IF(Y304,1,0)</f>
        <v>0</v>
      </c>
      <c r="AA304" s="122">
        <v>0</v>
      </c>
      <c r="AB304" s="122"/>
      <c r="AC304" s="26">
        <f t="shared" si="325"/>
        <v>0</v>
      </c>
      <c r="AD304" s="122">
        <f t="shared" si="325"/>
        <v>0</v>
      </c>
      <c r="AE304" s="122"/>
      <c r="AF304" s="122">
        <f t="shared" si="318"/>
        <v>0</v>
      </c>
      <c r="AG304" s="122"/>
      <c r="AH304" s="122">
        <f t="shared" si="319"/>
        <v>0</v>
      </c>
      <c r="AI304" s="122">
        <f t="shared" si="321"/>
        <v>0</v>
      </c>
      <c r="AJ304" s="122"/>
      <c r="AK304" s="122"/>
      <c r="AL304" s="122">
        <v>530670</v>
      </c>
      <c r="AM304" s="122">
        <v>1</v>
      </c>
      <c r="AN304" s="122">
        <f t="shared" si="327"/>
        <v>0</v>
      </c>
      <c r="AO304" s="122"/>
      <c r="AP304" s="122">
        <f t="shared" si="322"/>
        <v>0</v>
      </c>
      <c r="AQ304" s="122"/>
      <c r="AR304" s="34">
        <f t="shared" si="324"/>
        <v>530670</v>
      </c>
      <c r="AS304" s="10">
        <f t="shared" si="324"/>
        <v>1</v>
      </c>
      <c r="AT304" s="10"/>
      <c r="AU304" s="10">
        <f t="shared" si="302"/>
        <v>0</v>
      </c>
      <c r="AV304" s="10">
        <v>530670</v>
      </c>
      <c r="AW304" s="10">
        <f t="shared" si="303"/>
        <v>1</v>
      </c>
      <c r="AX304" s="10">
        <f t="shared" si="323"/>
        <v>58963.333333333343</v>
      </c>
      <c r="AY304" s="10">
        <v>1</v>
      </c>
      <c r="AZ304" s="10"/>
      <c r="BA304" s="10">
        <v>0</v>
      </c>
      <c r="BB304" s="10">
        <v>0</v>
      </c>
      <c r="BC304" s="10">
        <f t="shared" si="328"/>
        <v>0</v>
      </c>
      <c r="BD304" s="10"/>
      <c r="BE304" s="26">
        <f t="shared" si="298"/>
        <v>0</v>
      </c>
      <c r="BF304" s="122">
        <f t="shared" si="298"/>
        <v>0</v>
      </c>
      <c r="BG304" s="122"/>
      <c r="BH304" s="122">
        <f t="shared" si="299"/>
        <v>0</v>
      </c>
      <c r="BI304" s="122"/>
      <c r="BJ304" s="122">
        <f t="shared" si="300"/>
        <v>0</v>
      </c>
      <c r="BK304" s="122"/>
      <c r="BL304" s="122"/>
      <c r="BM304" s="122"/>
      <c r="BN304" s="122" t="s">
        <v>624</v>
      </c>
      <c r="BO304" s="122" t="s">
        <v>1702</v>
      </c>
      <c r="BP304" s="122" t="s">
        <v>625</v>
      </c>
      <c r="BQ304" s="122" t="s">
        <v>626</v>
      </c>
      <c r="BR304" s="122" t="s">
        <v>573</v>
      </c>
      <c r="BS304" s="122" t="s">
        <v>575</v>
      </c>
      <c r="BT304" s="55" t="s">
        <v>11</v>
      </c>
    </row>
    <row r="305" spans="1:77" s="3" customFormat="1" ht="73.5" hidden="1" customHeight="1" outlineLevel="1" x14ac:dyDescent="0.25">
      <c r="A305" s="124"/>
      <c r="B305" s="59">
        <v>31</v>
      </c>
      <c r="C305" s="69" t="s">
        <v>1337</v>
      </c>
      <c r="D305" s="122" t="s">
        <v>322</v>
      </c>
      <c r="E305" s="122">
        <v>2015</v>
      </c>
      <c r="F305" s="122">
        <v>215436</v>
      </c>
      <c r="G305" s="122">
        <v>210533</v>
      </c>
      <c r="H305" s="122"/>
      <c r="I305" s="122"/>
      <c r="J305" s="122"/>
      <c r="K305" s="122">
        <v>1</v>
      </c>
      <c r="L305" s="122"/>
      <c r="M305" s="122">
        <v>0</v>
      </c>
      <c r="N305" s="122">
        <f t="shared" si="320"/>
        <v>0</v>
      </c>
      <c r="O305" s="122">
        <v>189480</v>
      </c>
      <c r="P305" s="122">
        <v>1</v>
      </c>
      <c r="Q305" s="26">
        <v>0</v>
      </c>
      <c r="R305" s="122">
        <v>0</v>
      </c>
      <c r="S305" s="122">
        <f t="shared" si="326"/>
        <v>0</v>
      </c>
      <c r="T305" s="122"/>
      <c r="U305" s="26">
        <f t="shared" si="329"/>
        <v>0</v>
      </c>
      <c r="V305" s="122">
        <f t="shared" si="329"/>
        <v>0</v>
      </c>
      <c r="W305" s="122"/>
      <c r="X305" s="122">
        <f t="shared" si="330"/>
        <v>0</v>
      </c>
      <c r="Y305" s="122"/>
      <c r="Z305" s="122">
        <f t="shared" si="331"/>
        <v>0</v>
      </c>
      <c r="AA305" s="122">
        <v>0</v>
      </c>
      <c r="AB305" s="122"/>
      <c r="AC305" s="26">
        <f t="shared" si="325"/>
        <v>0</v>
      </c>
      <c r="AD305" s="122">
        <f t="shared" si="325"/>
        <v>0</v>
      </c>
      <c r="AE305" s="122"/>
      <c r="AF305" s="122">
        <f t="shared" si="318"/>
        <v>0</v>
      </c>
      <c r="AG305" s="122"/>
      <c r="AH305" s="122">
        <f t="shared" si="319"/>
        <v>0</v>
      </c>
      <c r="AI305" s="122">
        <f t="shared" si="321"/>
        <v>0</v>
      </c>
      <c r="AJ305" s="122"/>
      <c r="AK305" s="122"/>
      <c r="AL305" s="122">
        <v>189480</v>
      </c>
      <c r="AM305" s="122">
        <v>1</v>
      </c>
      <c r="AN305" s="122">
        <f t="shared" si="327"/>
        <v>0</v>
      </c>
      <c r="AO305" s="122"/>
      <c r="AP305" s="122">
        <f t="shared" si="322"/>
        <v>0</v>
      </c>
      <c r="AQ305" s="122"/>
      <c r="AR305" s="34">
        <f t="shared" si="324"/>
        <v>189480</v>
      </c>
      <c r="AS305" s="10">
        <f t="shared" si="324"/>
        <v>1</v>
      </c>
      <c r="AT305" s="10">
        <v>0</v>
      </c>
      <c r="AU305" s="10">
        <f t="shared" si="302"/>
        <v>0</v>
      </c>
      <c r="AV305" s="10">
        <v>189480</v>
      </c>
      <c r="AW305" s="10">
        <f t="shared" si="303"/>
        <v>1</v>
      </c>
      <c r="AX305" s="10">
        <f t="shared" si="323"/>
        <v>21053.333333333332</v>
      </c>
      <c r="AY305" s="10">
        <v>1</v>
      </c>
      <c r="AZ305" s="10"/>
      <c r="BA305" s="10">
        <v>0</v>
      </c>
      <c r="BB305" s="10">
        <v>0</v>
      </c>
      <c r="BC305" s="10">
        <f t="shared" si="328"/>
        <v>0</v>
      </c>
      <c r="BD305" s="10"/>
      <c r="BE305" s="26">
        <f t="shared" si="298"/>
        <v>0</v>
      </c>
      <c r="BF305" s="122">
        <f t="shared" si="298"/>
        <v>0</v>
      </c>
      <c r="BG305" s="122"/>
      <c r="BH305" s="122">
        <f t="shared" si="299"/>
        <v>0</v>
      </c>
      <c r="BI305" s="122"/>
      <c r="BJ305" s="122">
        <f t="shared" si="300"/>
        <v>0</v>
      </c>
      <c r="BK305" s="122"/>
      <c r="BL305" s="122"/>
      <c r="BM305" s="122"/>
      <c r="BN305" s="122" t="s">
        <v>627</v>
      </c>
      <c r="BO305" s="122" t="s">
        <v>1703</v>
      </c>
      <c r="BP305" s="122" t="s">
        <v>628</v>
      </c>
      <c r="BQ305" s="122" t="s">
        <v>629</v>
      </c>
      <c r="BR305" s="122" t="s">
        <v>630</v>
      </c>
      <c r="BS305" s="122" t="s">
        <v>586</v>
      </c>
      <c r="BT305" s="55" t="s">
        <v>11</v>
      </c>
    </row>
    <row r="306" spans="1:77" s="3" customFormat="1" ht="80.25" hidden="1" customHeight="1" outlineLevel="1" x14ac:dyDescent="0.25">
      <c r="A306" s="124"/>
      <c r="B306" s="59">
        <v>32</v>
      </c>
      <c r="C306" s="67" t="s">
        <v>1502</v>
      </c>
      <c r="D306" s="122" t="s">
        <v>1503</v>
      </c>
      <c r="E306" s="122" t="s">
        <v>10</v>
      </c>
      <c r="F306" s="122">
        <v>407240</v>
      </c>
      <c r="G306" s="122">
        <v>403159.66</v>
      </c>
      <c r="H306" s="122"/>
      <c r="I306" s="122"/>
      <c r="J306" s="122"/>
      <c r="K306" s="122"/>
      <c r="L306" s="122"/>
      <c r="M306" s="122">
        <v>0</v>
      </c>
      <c r="N306" s="122">
        <f t="shared" si="320"/>
        <v>0</v>
      </c>
      <c r="O306" s="122">
        <v>181422</v>
      </c>
      <c r="P306" s="122">
        <v>1</v>
      </c>
      <c r="Q306" s="26">
        <v>181422</v>
      </c>
      <c r="R306" s="122">
        <v>1</v>
      </c>
      <c r="S306" s="122">
        <f t="shared" si="326"/>
        <v>181422</v>
      </c>
      <c r="T306" s="122"/>
      <c r="U306" s="26">
        <f t="shared" si="329"/>
        <v>181422</v>
      </c>
      <c r="V306" s="122">
        <f t="shared" si="329"/>
        <v>1</v>
      </c>
      <c r="W306" s="122"/>
      <c r="X306" s="122">
        <f t="shared" si="330"/>
        <v>0</v>
      </c>
      <c r="Y306" s="122">
        <f>181422</f>
        <v>181422</v>
      </c>
      <c r="Z306" s="122">
        <f t="shared" si="331"/>
        <v>1</v>
      </c>
      <c r="AA306" s="122">
        <v>-181422</v>
      </c>
      <c r="AB306" s="122"/>
      <c r="AC306" s="26">
        <f t="shared" si="325"/>
        <v>0</v>
      </c>
      <c r="AD306" s="122">
        <f t="shared" si="325"/>
        <v>0</v>
      </c>
      <c r="AE306" s="122"/>
      <c r="AF306" s="122">
        <f t="shared" si="318"/>
        <v>0</v>
      </c>
      <c r="AG306" s="122"/>
      <c r="AH306" s="122">
        <f t="shared" si="319"/>
        <v>0</v>
      </c>
      <c r="AI306" s="122">
        <f t="shared" si="321"/>
        <v>0</v>
      </c>
      <c r="AJ306" s="122"/>
      <c r="AK306" s="122">
        <v>1</v>
      </c>
      <c r="AL306" s="122">
        <v>181422</v>
      </c>
      <c r="AM306" s="122">
        <v>1</v>
      </c>
      <c r="AN306" s="122">
        <f t="shared" si="327"/>
        <v>-181422</v>
      </c>
      <c r="AO306" s="122"/>
      <c r="AP306" s="122">
        <f t="shared" si="322"/>
        <v>181422</v>
      </c>
      <c r="AQ306" s="122"/>
      <c r="AR306" s="34">
        <f t="shared" si="324"/>
        <v>362844</v>
      </c>
      <c r="AS306" s="10">
        <f t="shared" si="324"/>
        <v>1</v>
      </c>
      <c r="AT306" s="10"/>
      <c r="AU306" s="10">
        <f t="shared" si="302"/>
        <v>0</v>
      </c>
      <c r="AV306" s="10">
        <f>181422+181422</f>
        <v>362844</v>
      </c>
      <c r="AW306" s="10">
        <f t="shared" si="303"/>
        <v>1</v>
      </c>
      <c r="AX306" s="10">
        <f t="shared" si="323"/>
        <v>40316</v>
      </c>
      <c r="AY306" s="10">
        <v>1</v>
      </c>
      <c r="AZ306" s="10"/>
      <c r="BA306" s="10">
        <v>0</v>
      </c>
      <c r="BB306" s="10">
        <v>0</v>
      </c>
      <c r="BC306" s="10">
        <f t="shared" si="328"/>
        <v>0</v>
      </c>
      <c r="BD306" s="10"/>
      <c r="BE306" s="26">
        <f t="shared" si="298"/>
        <v>0</v>
      </c>
      <c r="BF306" s="122">
        <f t="shared" si="298"/>
        <v>0</v>
      </c>
      <c r="BG306" s="122"/>
      <c r="BH306" s="122">
        <f t="shared" si="299"/>
        <v>0</v>
      </c>
      <c r="BI306" s="122"/>
      <c r="BJ306" s="122">
        <f t="shared" si="300"/>
        <v>0</v>
      </c>
      <c r="BK306" s="122"/>
      <c r="BL306" s="122"/>
      <c r="BM306" s="122"/>
      <c r="BN306" s="122" t="s">
        <v>921</v>
      </c>
      <c r="BO306" s="122" t="s">
        <v>1704</v>
      </c>
      <c r="BP306" s="122" t="s">
        <v>1207</v>
      </c>
      <c r="BQ306" s="122" t="s">
        <v>1208</v>
      </c>
      <c r="BR306" s="122" t="s">
        <v>1209</v>
      </c>
      <c r="BS306" s="122" t="s">
        <v>586</v>
      </c>
      <c r="BT306" s="55" t="s">
        <v>11</v>
      </c>
    </row>
    <row r="307" spans="1:77" s="3" customFormat="1" ht="83.25" hidden="1" customHeight="1" outlineLevel="1" x14ac:dyDescent="0.25">
      <c r="A307" s="124"/>
      <c r="B307" s="59">
        <v>33</v>
      </c>
      <c r="C307" s="67" t="s">
        <v>1338</v>
      </c>
      <c r="D307" s="122" t="s">
        <v>602</v>
      </c>
      <c r="E307" s="122" t="s">
        <v>10</v>
      </c>
      <c r="F307" s="122">
        <v>182809.23</v>
      </c>
      <c r="G307" s="122">
        <v>174339.76800000001</v>
      </c>
      <c r="H307" s="122"/>
      <c r="I307" s="122"/>
      <c r="J307" s="122"/>
      <c r="K307" s="122"/>
      <c r="L307" s="122"/>
      <c r="M307" s="122">
        <v>0</v>
      </c>
      <c r="N307" s="122">
        <f t="shared" si="320"/>
        <v>0</v>
      </c>
      <c r="O307" s="122">
        <v>87164</v>
      </c>
      <c r="P307" s="122">
        <v>1</v>
      </c>
      <c r="Q307" s="26">
        <v>87164</v>
      </c>
      <c r="R307" s="122">
        <v>1</v>
      </c>
      <c r="S307" s="122">
        <f t="shared" si="326"/>
        <v>87164</v>
      </c>
      <c r="T307" s="122"/>
      <c r="U307" s="26">
        <f t="shared" si="329"/>
        <v>87164</v>
      </c>
      <c r="V307" s="122">
        <f t="shared" si="329"/>
        <v>1</v>
      </c>
      <c r="W307" s="122"/>
      <c r="X307" s="122">
        <f t="shared" si="330"/>
        <v>0</v>
      </c>
      <c r="Y307" s="122">
        <v>87164</v>
      </c>
      <c r="Z307" s="122">
        <f t="shared" si="331"/>
        <v>1</v>
      </c>
      <c r="AA307" s="122">
        <v>-87164</v>
      </c>
      <c r="AB307" s="122"/>
      <c r="AC307" s="26">
        <f t="shared" si="325"/>
        <v>0</v>
      </c>
      <c r="AD307" s="122">
        <f t="shared" si="325"/>
        <v>0</v>
      </c>
      <c r="AE307" s="122"/>
      <c r="AF307" s="122">
        <f t="shared" si="318"/>
        <v>0</v>
      </c>
      <c r="AG307" s="122"/>
      <c r="AH307" s="122">
        <f t="shared" si="319"/>
        <v>0</v>
      </c>
      <c r="AI307" s="122">
        <f t="shared" si="321"/>
        <v>0</v>
      </c>
      <c r="AJ307" s="122"/>
      <c r="AK307" s="122">
        <v>1</v>
      </c>
      <c r="AL307" s="122">
        <v>69742</v>
      </c>
      <c r="AM307" s="122">
        <v>1</v>
      </c>
      <c r="AN307" s="122">
        <f t="shared" si="327"/>
        <v>-87164</v>
      </c>
      <c r="AO307" s="122"/>
      <c r="AP307" s="122">
        <f t="shared" si="322"/>
        <v>87164</v>
      </c>
      <c r="AQ307" s="122"/>
      <c r="AR307" s="34">
        <f t="shared" si="324"/>
        <v>156906</v>
      </c>
      <c r="AS307" s="10">
        <f t="shared" si="324"/>
        <v>1</v>
      </c>
      <c r="AT307" s="10"/>
      <c r="AU307" s="10">
        <f t="shared" si="302"/>
        <v>0</v>
      </c>
      <c r="AV307" s="10">
        <f>156906-87164+87164</f>
        <v>156906</v>
      </c>
      <c r="AW307" s="10">
        <f t="shared" si="303"/>
        <v>1</v>
      </c>
      <c r="AX307" s="10">
        <f t="shared" si="323"/>
        <v>17434</v>
      </c>
      <c r="AY307" s="10">
        <v>1</v>
      </c>
      <c r="AZ307" s="10"/>
      <c r="BA307" s="10">
        <v>0</v>
      </c>
      <c r="BB307" s="10">
        <v>0</v>
      </c>
      <c r="BC307" s="10">
        <f t="shared" si="328"/>
        <v>0</v>
      </c>
      <c r="BD307" s="10"/>
      <c r="BE307" s="26">
        <f t="shared" si="298"/>
        <v>0</v>
      </c>
      <c r="BF307" s="122">
        <f t="shared" si="298"/>
        <v>0</v>
      </c>
      <c r="BG307" s="122"/>
      <c r="BH307" s="122">
        <f t="shared" si="299"/>
        <v>0</v>
      </c>
      <c r="BI307" s="122"/>
      <c r="BJ307" s="122">
        <f t="shared" si="300"/>
        <v>0</v>
      </c>
      <c r="BK307" s="122"/>
      <c r="BL307" s="122"/>
      <c r="BM307" s="122"/>
      <c r="BN307" s="122" t="s">
        <v>1705</v>
      </c>
      <c r="BO307" s="122" t="s">
        <v>1700</v>
      </c>
      <c r="BP307" s="122" t="s">
        <v>604</v>
      </c>
      <c r="BQ307" s="122" t="s">
        <v>605</v>
      </c>
      <c r="BR307" s="122" t="s">
        <v>601</v>
      </c>
      <c r="BS307" s="122" t="s">
        <v>603</v>
      </c>
      <c r="BT307" s="55" t="s">
        <v>11</v>
      </c>
    </row>
    <row r="308" spans="1:77" s="3" customFormat="1" ht="72" hidden="1" customHeight="1" outlineLevel="1" x14ac:dyDescent="0.25">
      <c r="A308" s="124"/>
      <c r="B308" s="59">
        <v>34</v>
      </c>
      <c r="C308" s="67" t="s">
        <v>1339</v>
      </c>
      <c r="D308" s="122" t="s">
        <v>636</v>
      </c>
      <c r="E308" s="122" t="s">
        <v>10</v>
      </c>
      <c r="F308" s="122">
        <v>225007.37</v>
      </c>
      <c r="G308" s="122">
        <v>221000</v>
      </c>
      <c r="H308" s="122"/>
      <c r="I308" s="122"/>
      <c r="J308" s="122"/>
      <c r="K308" s="122"/>
      <c r="L308" s="122"/>
      <c r="M308" s="122">
        <v>0</v>
      </c>
      <c r="N308" s="122">
        <f t="shared" si="320"/>
        <v>0</v>
      </c>
      <c r="O308" s="122">
        <v>221000</v>
      </c>
      <c r="P308" s="122">
        <v>1</v>
      </c>
      <c r="Q308" s="26">
        <v>198900</v>
      </c>
      <c r="R308" s="122">
        <v>1</v>
      </c>
      <c r="S308" s="122">
        <f t="shared" si="326"/>
        <v>198900</v>
      </c>
      <c r="T308" s="122"/>
      <c r="U308" s="26">
        <f t="shared" si="329"/>
        <v>198900</v>
      </c>
      <c r="V308" s="122">
        <f t="shared" si="329"/>
        <v>1</v>
      </c>
      <c r="W308" s="122"/>
      <c r="X308" s="122">
        <f t="shared" si="330"/>
        <v>0</v>
      </c>
      <c r="Y308" s="122">
        <v>198900</v>
      </c>
      <c r="Z308" s="122">
        <f t="shared" si="331"/>
        <v>1</v>
      </c>
      <c r="AA308" s="122">
        <v>-198900</v>
      </c>
      <c r="AB308" s="122"/>
      <c r="AC308" s="26">
        <f t="shared" si="325"/>
        <v>0</v>
      </c>
      <c r="AD308" s="122">
        <f t="shared" si="325"/>
        <v>0</v>
      </c>
      <c r="AE308" s="122"/>
      <c r="AF308" s="122">
        <f t="shared" si="318"/>
        <v>0</v>
      </c>
      <c r="AG308" s="122"/>
      <c r="AH308" s="122">
        <f t="shared" si="319"/>
        <v>0</v>
      </c>
      <c r="AI308" s="122">
        <f t="shared" si="321"/>
        <v>0</v>
      </c>
      <c r="AJ308" s="122">
        <v>1</v>
      </c>
      <c r="AK308" s="122"/>
      <c r="AL308" s="122">
        <v>0</v>
      </c>
      <c r="AM308" s="122">
        <v>0</v>
      </c>
      <c r="AN308" s="122">
        <f t="shared" si="327"/>
        <v>-198900</v>
      </c>
      <c r="AO308" s="122"/>
      <c r="AP308" s="122">
        <f t="shared" si="322"/>
        <v>198900</v>
      </c>
      <c r="AQ308" s="122"/>
      <c r="AR308" s="34">
        <f t="shared" si="324"/>
        <v>198900</v>
      </c>
      <c r="AS308" s="10">
        <f t="shared" si="324"/>
        <v>1</v>
      </c>
      <c r="AT308" s="10"/>
      <c r="AU308" s="10">
        <f t="shared" si="302"/>
        <v>0</v>
      </c>
      <c r="AV308" s="10">
        <f>198900</f>
        <v>198900</v>
      </c>
      <c r="AW308" s="10">
        <f t="shared" si="303"/>
        <v>1</v>
      </c>
      <c r="AX308" s="10">
        <f t="shared" si="323"/>
        <v>22100</v>
      </c>
      <c r="AY308" s="10"/>
      <c r="AZ308" s="10"/>
      <c r="BA308" s="10">
        <v>0</v>
      </c>
      <c r="BB308" s="10">
        <v>0</v>
      </c>
      <c r="BC308" s="10">
        <f t="shared" si="328"/>
        <v>0</v>
      </c>
      <c r="BD308" s="10"/>
      <c r="BE308" s="26">
        <f t="shared" si="298"/>
        <v>0</v>
      </c>
      <c r="BF308" s="122">
        <f t="shared" si="298"/>
        <v>0</v>
      </c>
      <c r="BG308" s="122"/>
      <c r="BH308" s="122">
        <f t="shared" si="299"/>
        <v>0</v>
      </c>
      <c r="BI308" s="122"/>
      <c r="BJ308" s="122">
        <f t="shared" si="300"/>
        <v>0</v>
      </c>
      <c r="BK308" s="122"/>
      <c r="BL308" s="122"/>
      <c r="BM308" s="122"/>
      <c r="BN308" s="122" t="s">
        <v>637</v>
      </c>
      <c r="BO308" s="122" t="s">
        <v>1702</v>
      </c>
      <c r="BP308" s="122" t="s">
        <v>639</v>
      </c>
      <c r="BQ308" s="122" t="s">
        <v>640</v>
      </c>
      <c r="BR308" s="122" t="s">
        <v>573</v>
      </c>
      <c r="BS308" s="122" t="s">
        <v>638</v>
      </c>
      <c r="BT308" s="55" t="s">
        <v>11</v>
      </c>
    </row>
    <row r="309" spans="1:77" s="3" customFormat="1" ht="69" hidden="1" customHeight="1" outlineLevel="1" x14ac:dyDescent="0.25">
      <c r="A309" s="124"/>
      <c r="B309" s="59">
        <v>35</v>
      </c>
      <c r="C309" s="67" t="s">
        <v>1340</v>
      </c>
      <c r="D309" s="122" t="s">
        <v>644</v>
      </c>
      <c r="E309" s="122" t="s">
        <v>10</v>
      </c>
      <c r="F309" s="122">
        <v>181554</v>
      </c>
      <c r="G309" s="122">
        <v>175159</v>
      </c>
      <c r="H309" s="122"/>
      <c r="I309" s="122"/>
      <c r="J309" s="122"/>
      <c r="K309" s="122"/>
      <c r="L309" s="122"/>
      <c r="M309" s="122">
        <v>0</v>
      </c>
      <c r="N309" s="122">
        <f t="shared" si="320"/>
        <v>0</v>
      </c>
      <c r="O309" s="122">
        <v>78821</v>
      </c>
      <c r="P309" s="122">
        <v>1</v>
      </c>
      <c r="Q309" s="26">
        <v>74659</v>
      </c>
      <c r="R309" s="122">
        <v>1</v>
      </c>
      <c r="S309" s="122">
        <f t="shared" si="326"/>
        <v>74659</v>
      </c>
      <c r="T309" s="122"/>
      <c r="U309" s="26">
        <f t="shared" si="329"/>
        <v>74659</v>
      </c>
      <c r="V309" s="122">
        <f t="shared" si="329"/>
        <v>1</v>
      </c>
      <c r="W309" s="122"/>
      <c r="X309" s="122">
        <f t="shared" si="330"/>
        <v>0</v>
      </c>
      <c r="Y309" s="122">
        <f>157643-82984</f>
        <v>74659</v>
      </c>
      <c r="Z309" s="122">
        <f t="shared" si="331"/>
        <v>1</v>
      </c>
      <c r="AA309" s="122">
        <v>-74659</v>
      </c>
      <c r="AB309" s="122"/>
      <c r="AC309" s="26">
        <f t="shared" si="325"/>
        <v>0</v>
      </c>
      <c r="AD309" s="122">
        <f t="shared" si="325"/>
        <v>0</v>
      </c>
      <c r="AE309" s="122"/>
      <c r="AF309" s="122">
        <f t="shared" si="318"/>
        <v>0</v>
      </c>
      <c r="AG309" s="122"/>
      <c r="AH309" s="122">
        <f t="shared" si="319"/>
        <v>0</v>
      </c>
      <c r="AI309" s="122">
        <f t="shared" si="321"/>
        <v>0</v>
      </c>
      <c r="AJ309" s="122"/>
      <c r="AK309" s="122">
        <v>1</v>
      </c>
      <c r="AL309" s="122">
        <v>82984</v>
      </c>
      <c r="AM309" s="122">
        <v>1</v>
      </c>
      <c r="AN309" s="122">
        <f t="shared" si="327"/>
        <v>-74659</v>
      </c>
      <c r="AO309" s="122"/>
      <c r="AP309" s="122">
        <f t="shared" si="322"/>
        <v>74659</v>
      </c>
      <c r="AQ309" s="122"/>
      <c r="AR309" s="34">
        <f t="shared" si="324"/>
        <v>157643</v>
      </c>
      <c r="AS309" s="10">
        <f t="shared" si="324"/>
        <v>1</v>
      </c>
      <c r="AT309" s="10"/>
      <c r="AU309" s="10">
        <f t="shared" si="302"/>
        <v>0</v>
      </c>
      <c r="AV309" s="10">
        <f>82984+74659</f>
        <v>157643</v>
      </c>
      <c r="AW309" s="10">
        <f t="shared" si="303"/>
        <v>1</v>
      </c>
      <c r="AX309" s="10">
        <f t="shared" si="323"/>
        <v>17515.888888888887</v>
      </c>
      <c r="AY309" s="10">
        <v>1</v>
      </c>
      <c r="AZ309" s="10"/>
      <c r="BA309" s="10">
        <v>0</v>
      </c>
      <c r="BB309" s="10">
        <v>0</v>
      </c>
      <c r="BC309" s="10">
        <f t="shared" si="328"/>
        <v>0</v>
      </c>
      <c r="BD309" s="10"/>
      <c r="BE309" s="26">
        <f t="shared" si="298"/>
        <v>0</v>
      </c>
      <c r="BF309" s="122">
        <f t="shared" si="298"/>
        <v>0</v>
      </c>
      <c r="BG309" s="122"/>
      <c r="BH309" s="122">
        <f t="shared" si="299"/>
        <v>0</v>
      </c>
      <c r="BI309" s="122"/>
      <c r="BJ309" s="122">
        <f t="shared" si="300"/>
        <v>0</v>
      </c>
      <c r="BK309" s="122"/>
      <c r="BL309" s="122"/>
      <c r="BM309" s="122"/>
      <c r="BN309" s="122" t="s">
        <v>645</v>
      </c>
      <c r="BO309" s="122" t="s">
        <v>1702</v>
      </c>
      <c r="BP309" s="122" t="s">
        <v>1341</v>
      </c>
      <c r="BQ309" s="122" t="s">
        <v>646</v>
      </c>
      <c r="BR309" s="122" t="s">
        <v>630</v>
      </c>
      <c r="BS309" s="122" t="s">
        <v>586</v>
      </c>
      <c r="BT309" s="55" t="s">
        <v>11</v>
      </c>
    </row>
    <row r="310" spans="1:77" s="3" customFormat="1" ht="84.75" hidden="1" customHeight="1" outlineLevel="1" x14ac:dyDescent="0.25">
      <c r="A310" s="124"/>
      <c r="B310" s="59">
        <v>36</v>
      </c>
      <c r="C310" s="67" t="s">
        <v>1342</v>
      </c>
      <c r="D310" s="122" t="s">
        <v>648</v>
      </c>
      <c r="E310" s="122">
        <v>2016</v>
      </c>
      <c r="F310" s="122">
        <v>191331.11</v>
      </c>
      <c r="G310" s="122">
        <v>186407</v>
      </c>
      <c r="H310" s="122"/>
      <c r="I310" s="122"/>
      <c r="J310" s="122"/>
      <c r="K310" s="122"/>
      <c r="L310" s="122"/>
      <c r="M310" s="122">
        <v>0</v>
      </c>
      <c r="N310" s="122">
        <f t="shared" si="320"/>
        <v>0</v>
      </c>
      <c r="O310" s="122">
        <v>83883</v>
      </c>
      <c r="P310" s="122">
        <v>1</v>
      </c>
      <c r="Q310" s="26">
        <v>0</v>
      </c>
      <c r="R310" s="122">
        <v>0</v>
      </c>
      <c r="S310" s="122">
        <f t="shared" si="326"/>
        <v>0</v>
      </c>
      <c r="T310" s="122"/>
      <c r="U310" s="26">
        <f t="shared" si="329"/>
        <v>0</v>
      </c>
      <c r="V310" s="122">
        <f t="shared" si="329"/>
        <v>0</v>
      </c>
      <c r="W310" s="122"/>
      <c r="X310" s="122">
        <f t="shared" si="330"/>
        <v>0</v>
      </c>
      <c r="Y310" s="122">
        <v>0</v>
      </c>
      <c r="Z310" s="122">
        <f t="shared" si="331"/>
        <v>0</v>
      </c>
      <c r="AA310" s="122">
        <v>0</v>
      </c>
      <c r="AB310" s="122"/>
      <c r="AC310" s="26">
        <f t="shared" si="325"/>
        <v>0</v>
      </c>
      <c r="AD310" s="122">
        <f t="shared" si="325"/>
        <v>0</v>
      </c>
      <c r="AE310" s="122"/>
      <c r="AF310" s="122">
        <f t="shared" si="318"/>
        <v>0</v>
      </c>
      <c r="AG310" s="122">
        <v>0</v>
      </c>
      <c r="AH310" s="122">
        <f t="shared" si="319"/>
        <v>0</v>
      </c>
      <c r="AI310" s="122">
        <f t="shared" si="321"/>
        <v>0</v>
      </c>
      <c r="AJ310" s="122"/>
      <c r="AK310" s="122"/>
      <c r="AL310" s="122">
        <v>167766</v>
      </c>
      <c r="AM310" s="122">
        <v>1</v>
      </c>
      <c r="AN310" s="122">
        <f t="shared" si="327"/>
        <v>0</v>
      </c>
      <c r="AO310" s="122"/>
      <c r="AP310" s="122">
        <f t="shared" si="322"/>
        <v>0</v>
      </c>
      <c r="AQ310" s="122"/>
      <c r="AR310" s="34">
        <f t="shared" si="324"/>
        <v>167766</v>
      </c>
      <c r="AS310" s="10">
        <f t="shared" si="324"/>
        <v>1</v>
      </c>
      <c r="AT310" s="10"/>
      <c r="AU310" s="10">
        <f t="shared" si="302"/>
        <v>0</v>
      </c>
      <c r="AV310" s="10">
        <v>167766</v>
      </c>
      <c r="AW310" s="10">
        <f t="shared" si="303"/>
        <v>1</v>
      </c>
      <c r="AX310" s="10">
        <f t="shared" si="323"/>
        <v>18640.666666666668</v>
      </c>
      <c r="AY310" s="10">
        <v>1</v>
      </c>
      <c r="AZ310" s="10"/>
      <c r="BA310" s="10">
        <v>0</v>
      </c>
      <c r="BB310" s="10">
        <v>0</v>
      </c>
      <c r="BC310" s="10">
        <f t="shared" si="328"/>
        <v>0</v>
      </c>
      <c r="BD310" s="10"/>
      <c r="BE310" s="26">
        <f t="shared" si="298"/>
        <v>0</v>
      </c>
      <c r="BF310" s="122">
        <f t="shared" si="298"/>
        <v>0</v>
      </c>
      <c r="BG310" s="122"/>
      <c r="BH310" s="122">
        <f t="shared" si="299"/>
        <v>0</v>
      </c>
      <c r="BI310" s="122"/>
      <c r="BJ310" s="122">
        <f t="shared" si="300"/>
        <v>0</v>
      </c>
      <c r="BK310" s="122"/>
      <c r="BL310" s="122"/>
      <c r="BM310" s="122"/>
      <c r="BN310" s="122" t="s">
        <v>649</v>
      </c>
      <c r="BO310" s="122" t="s">
        <v>1702</v>
      </c>
      <c r="BP310" s="122" t="s">
        <v>650</v>
      </c>
      <c r="BQ310" s="122" t="s">
        <v>651</v>
      </c>
      <c r="BR310" s="122" t="s">
        <v>630</v>
      </c>
      <c r="BS310" s="122" t="s">
        <v>586</v>
      </c>
      <c r="BT310" s="55" t="s">
        <v>11</v>
      </c>
    </row>
    <row r="311" spans="1:77" s="3" customFormat="1" ht="81" hidden="1" customHeight="1" outlineLevel="1" x14ac:dyDescent="0.25">
      <c r="A311" s="124"/>
      <c r="B311" s="59">
        <v>37</v>
      </c>
      <c r="C311" s="67" t="s">
        <v>1343</v>
      </c>
      <c r="D311" s="122" t="s">
        <v>1504</v>
      </c>
      <c r="E311" s="122">
        <v>2015</v>
      </c>
      <c r="F311" s="122">
        <v>153401</v>
      </c>
      <c r="G311" s="122">
        <v>148201</v>
      </c>
      <c r="H311" s="122"/>
      <c r="I311" s="122"/>
      <c r="J311" s="122"/>
      <c r="K311" s="122"/>
      <c r="L311" s="122"/>
      <c r="M311" s="122">
        <v>0</v>
      </c>
      <c r="N311" s="122">
        <f t="shared" si="320"/>
        <v>0</v>
      </c>
      <c r="O311" s="122">
        <v>66690</v>
      </c>
      <c r="P311" s="122">
        <v>1</v>
      </c>
      <c r="Q311" s="26">
        <v>133381</v>
      </c>
      <c r="R311" s="122">
        <v>1</v>
      </c>
      <c r="S311" s="122">
        <f t="shared" si="326"/>
        <v>133381</v>
      </c>
      <c r="T311" s="122"/>
      <c r="U311" s="26">
        <f t="shared" si="329"/>
        <v>133381</v>
      </c>
      <c r="V311" s="122">
        <f t="shared" si="329"/>
        <v>1</v>
      </c>
      <c r="W311" s="122"/>
      <c r="X311" s="122">
        <f t="shared" si="330"/>
        <v>0</v>
      </c>
      <c r="Y311" s="122">
        <v>133381</v>
      </c>
      <c r="Z311" s="122">
        <f t="shared" si="331"/>
        <v>1</v>
      </c>
      <c r="AA311" s="122">
        <v>-133381</v>
      </c>
      <c r="AB311" s="122"/>
      <c r="AC311" s="26">
        <f t="shared" si="325"/>
        <v>0</v>
      </c>
      <c r="AD311" s="122">
        <f t="shared" si="325"/>
        <v>0</v>
      </c>
      <c r="AE311" s="122"/>
      <c r="AF311" s="122">
        <f t="shared" si="318"/>
        <v>0</v>
      </c>
      <c r="AG311" s="122"/>
      <c r="AH311" s="122">
        <f t="shared" si="319"/>
        <v>0</v>
      </c>
      <c r="AI311" s="122">
        <f t="shared" si="321"/>
        <v>0</v>
      </c>
      <c r="AJ311" s="122">
        <v>1</v>
      </c>
      <c r="AK311" s="122"/>
      <c r="AL311" s="122">
        <v>0</v>
      </c>
      <c r="AM311" s="122">
        <v>0</v>
      </c>
      <c r="AN311" s="122">
        <f t="shared" si="327"/>
        <v>-133381</v>
      </c>
      <c r="AO311" s="122"/>
      <c r="AP311" s="122">
        <f t="shared" si="322"/>
        <v>133381</v>
      </c>
      <c r="AQ311" s="122"/>
      <c r="AR311" s="34">
        <f t="shared" si="324"/>
        <v>133381</v>
      </c>
      <c r="AS311" s="10">
        <f t="shared" si="324"/>
        <v>1</v>
      </c>
      <c r="AT311" s="10"/>
      <c r="AU311" s="10">
        <f t="shared" si="302"/>
        <v>0</v>
      </c>
      <c r="AV311" s="10">
        <f>133381</f>
        <v>133381</v>
      </c>
      <c r="AW311" s="10">
        <f t="shared" si="303"/>
        <v>1</v>
      </c>
      <c r="AX311" s="10">
        <f t="shared" si="323"/>
        <v>14820.111111111109</v>
      </c>
      <c r="AY311" s="10"/>
      <c r="AZ311" s="10"/>
      <c r="BA311" s="10">
        <v>0</v>
      </c>
      <c r="BB311" s="10">
        <v>0</v>
      </c>
      <c r="BC311" s="10">
        <f t="shared" si="328"/>
        <v>0</v>
      </c>
      <c r="BD311" s="10"/>
      <c r="BE311" s="26">
        <f t="shared" si="298"/>
        <v>0</v>
      </c>
      <c r="BF311" s="122">
        <f t="shared" si="298"/>
        <v>0</v>
      </c>
      <c r="BG311" s="122"/>
      <c r="BH311" s="122">
        <f t="shared" si="299"/>
        <v>0</v>
      </c>
      <c r="BI311" s="122"/>
      <c r="BJ311" s="122">
        <f t="shared" si="300"/>
        <v>0</v>
      </c>
      <c r="BK311" s="122"/>
      <c r="BL311" s="122"/>
      <c r="BM311" s="122"/>
      <c r="BN311" s="122" t="s">
        <v>655</v>
      </c>
      <c r="BO311" s="122" t="s">
        <v>1702</v>
      </c>
      <c r="BP311" s="122" t="s">
        <v>656</v>
      </c>
      <c r="BQ311" s="122" t="s">
        <v>626</v>
      </c>
      <c r="BR311" s="122" t="s">
        <v>573</v>
      </c>
      <c r="BS311" s="122" t="s">
        <v>586</v>
      </c>
      <c r="BT311" s="55" t="s">
        <v>11</v>
      </c>
    </row>
    <row r="312" spans="1:77" s="3" customFormat="1" ht="91.5" hidden="1" customHeight="1" outlineLevel="1" x14ac:dyDescent="0.25">
      <c r="A312" s="124"/>
      <c r="B312" s="59">
        <v>38</v>
      </c>
      <c r="C312" s="67" t="s">
        <v>1344</v>
      </c>
      <c r="D312" s="122" t="s">
        <v>658</v>
      </c>
      <c r="E312" s="122" t="s">
        <v>10</v>
      </c>
      <c r="F312" s="122">
        <v>218665.12</v>
      </c>
      <c r="G312" s="122">
        <v>214512</v>
      </c>
      <c r="H312" s="122"/>
      <c r="I312" s="122"/>
      <c r="J312" s="122"/>
      <c r="K312" s="122"/>
      <c r="L312" s="122"/>
      <c r="M312" s="122">
        <v>0</v>
      </c>
      <c r="N312" s="122">
        <f t="shared" si="320"/>
        <v>0</v>
      </c>
      <c r="O312" s="122">
        <v>96530</v>
      </c>
      <c r="P312" s="122">
        <v>1</v>
      </c>
      <c r="Q312" s="26">
        <v>54722</v>
      </c>
      <c r="R312" s="122">
        <v>1</v>
      </c>
      <c r="S312" s="122">
        <f t="shared" si="326"/>
        <v>54722</v>
      </c>
      <c r="T312" s="122"/>
      <c r="U312" s="26">
        <f t="shared" si="329"/>
        <v>54722</v>
      </c>
      <c r="V312" s="122">
        <f t="shared" si="329"/>
        <v>1</v>
      </c>
      <c r="W312" s="122"/>
      <c r="X312" s="122">
        <f t="shared" si="330"/>
        <v>0</v>
      </c>
      <c r="Y312" s="122">
        <v>54722</v>
      </c>
      <c r="Z312" s="122">
        <f t="shared" si="331"/>
        <v>1</v>
      </c>
      <c r="AA312" s="122">
        <v>-54722</v>
      </c>
      <c r="AB312" s="122"/>
      <c r="AC312" s="26">
        <f t="shared" si="325"/>
        <v>0</v>
      </c>
      <c r="AD312" s="122">
        <f t="shared" si="325"/>
        <v>0</v>
      </c>
      <c r="AE312" s="122"/>
      <c r="AF312" s="122">
        <f t="shared" si="318"/>
        <v>0</v>
      </c>
      <c r="AG312" s="122"/>
      <c r="AH312" s="122">
        <f t="shared" si="319"/>
        <v>0</v>
      </c>
      <c r="AI312" s="122">
        <f t="shared" si="321"/>
        <v>0</v>
      </c>
      <c r="AJ312" s="122"/>
      <c r="AK312" s="122">
        <v>1</v>
      </c>
      <c r="AL312" s="122">
        <v>138338</v>
      </c>
      <c r="AM312" s="122">
        <v>1</v>
      </c>
      <c r="AN312" s="122">
        <f t="shared" si="327"/>
        <v>-54722</v>
      </c>
      <c r="AO312" s="122"/>
      <c r="AP312" s="122">
        <f t="shared" si="322"/>
        <v>54722</v>
      </c>
      <c r="AQ312" s="122"/>
      <c r="AR312" s="34">
        <f t="shared" si="324"/>
        <v>193060</v>
      </c>
      <c r="AS312" s="10">
        <f t="shared" si="324"/>
        <v>1</v>
      </c>
      <c r="AT312" s="10"/>
      <c r="AU312" s="10">
        <f t="shared" si="302"/>
        <v>0</v>
      </c>
      <c r="AV312" s="10">
        <f>138338+54722</f>
        <v>193060</v>
      </c>
      <c r="AW312" s="10">
        <f t="shared" si="303"/>
        <v>1</v>
      </c>
      <c r="AX312" s="10">
        <f t="shared" si="323"/>
        <v>21451.111111111109</v>
      </c>
      <c r="AY312" s="10">
        <v>1</v>
      </c>
      <c r="AZ312" s="10"/>
      <c r="BA312" s="10">
        <v>0</v>
      </c>
      <c r="BB312" s="10">
        <v>0</v>
      </c>
      <c r="BC312" s="10">
        <f t="shared" si="328"/>
        <v>0</v>
      </c>
      <c r="BD312" s="10"/>
      <c r="BE312" s="26">
        <f t="shared" si="298"/>
        <v>0</v>
      </c>
      <c r="BF312" s="122">
        <f t="shared" si="298"/>
        <v>0</v>
      </c>
      <c r="BG312" s="122"/>
      <c r="BH312" s="122">
        <f t="shared" si="299"/>
        <v>0</v>
      </c>
      <c r="BI312" s="122"/>
      <c r="BJ312" s="122">
        <f t="shared" si="300"/>
        <v>0</v>
      </c>
      <c r="BK312" s="122"/>
      <c r="BL312" s="122"/>
      <c r="BM312" s="122"/>
      <c r="BN312" s="122" t="s">
        <v>657</v>
      </c>
      <c r="BO312" s="122" t="s">
        <v>1702</v>
      </c>
      <c r="BP312" s="122" t="s">
        <v>659</v>
      </c>
      <c r="BQ312" s="122" t="s">
        <v>660</v>
      </c>
      <c r="BR312" s="122" t="s">
        <v>573</v>
      </c>
      <c r="BS312" s="122" t="s">
        <v>586</v>
      </c>
      <c r="BT312" s="55" t="s">
        <v>11</v>
      </c>
    </row>
    <row r="313" spans="1:77" s="3" customFormat="1" ht="62.25" hidden="1" customHeight="1" outlineLevel="1" x14ac:dyDescent="0.25">
      <c r="A313" s="124"/>
      <c r="B313" s="59">
        <v>39</v>
      </c>
      <c r="C313" s="67" t="s">
        <v>1505</v>
      </c>
      <c r="D313" s="122" t="s">
        <v>674</v>
      </c>
      <c r="E313" s="122">
        <v>2015</v>
      </c>
      <c r="F313" s="122">
        <v>115254</v>
      </c>
      <c r="G313" s="122">
        <v>109903</v>
      </c>
      <c r="H313" s="122"/>
      <c r="I313" s="122"/>
      <c r="J313" s="122"/>
      <c r="K313" s="122">
        <v>1</v>
      </c>
      <c r="L313" s="122">
        <v>1</v>
      </c>
      <c r="M313" s="122">
        <v>0</v>
      </c>
      <c r="N313" s="122">
        <f t="shared" si="320"/>
        <v>0</v>
      </c>
      <c r="O313" s="122">
        <v>98912</v>
      </c>
      <c r="P313" s="122">
        <v>1</v>
      </c>
      <c r="Q313" s="26">
        <v>98912</v>
      </c>
      <c r="R313" s="122">
        <v>1</v>
      </c>
      <c r="S313" s="122">
        <f t="shared" si="326"/>
        <v>98912</v>
      </c>
      <c r="T313" s="122"/>
      <c r="U313" s="26">
        <f t="shared" si="329"/>
        <v>98912</v>
      </c>
      <c r="V313" s="122">
        <f t="shared" si="329"/>
        <v>1</v>
      </c>
      <c r="W313" s="122"/>
      <c r="X313" s="122">
        <f t="shared" si="330"/>
        <v>0</v>
      </c>
      <c r="Y313" s="122">
        <v>98912</v>
      </c>
      <c r="Z313" s="122">
        <f t="shared" si="331"/>
        <v>1</v>
      </c>
      <c r="AA313" s="122">
        <v>-98912</v>
      </c>
      <c r="AB313" s="122"/>
      <c r="AC313" s="26">
        <f t="shared" si="325"/>
        <v>0</v>
      </c>
      <c r="AD313" s="122">
        <f t="shared" si="325"/>
        <v>0</v>
      </c>
      <c r="AE313" s="122"/>
      <c r="AF313" s="122">
        <f t="shared" si="318"/>
        <v>0</v>
      </c>
      <c r="AG313" s="122"/>
      <c r="AH313" s="122">
        <f t="shared" si="319"/>
        <v>0</v>
      </c>
      <c r="AI313" s="122">
        <f t="shared" si="321"/>
        <v>0</v>
      </c>
      <c r="AJ313" s="122">
        <v>1</v>
      </c>
      <c r="AK313" s="122"/>
      <c r="AL313" s="122">
        <v>0</v>
      </c>
      <c r="AM313" s="122">
        <v>0</v>
      </c>
      <c r="AN313" s="122">
        <f t="shared" si="327"/>
        <v>-98912</v>
      </c>
      <c r="AO313" s="122"/>
      <c r="AP313" s="122">
        <f t="shared" si="322"/>
        <v>98912</v>
      </c>
      <c r="AQ313" s="122"/>
      <c r="AR313" s="34">
        <f t="shared" si="324"/>
        <v>98912</v>
      </c>
      <c r="AS313" s="10">
        <f t="shared" si="324"/>
        <v>1</v>
      </c>
      <c r="AT313" s="10">
        <v>0</v>
      </c>
      <c r="AU313" s="10">
        <f t="shared" si="302"/>
        <v>0</v>
      </c>
      <c r="AV313" s="10">
        <f>98912</f>
        <v>98912</v>
      </c>
      <c r="AW313" s="10">
        <f t="shared" si="303"/>
        <v>1</v>
      </c>
      <c r="AX313" s="10">
        <f t="shared" si="323"/>
        <v>10990.222222222223</v>
      </c>
      <c r="AY313" s="10"/>
      <c r="AZ313" s="10"/>
      <c r="BA313" s="10">
        <v>0</v>
      </c>
      <c r="BB313" s="10">
        <v>0</v>
      </c>
      <c r="BC313" s="10">
        <f t="shared" si="328"/>
        <v>0</v>
      </c>
      <c r="BD313" s="10"/>
      <c r="BE313" s="26">
        <f t="shared" si="298"/>
        <v>0</v>
      </c>
      <c r="BF313" s="122">
        <f t="shared" si="298"/>
        <v>0</v>
      </c>
      <c r="BG313" s="122"/>
      <c r="BH313" s="122">
        <f t="shared" si="299"/>
        <v>0</v>
      </c>
      <c r="BI313" s="122"/>
      <c r="BJ313" s="122">
        <f t="shared" si="300"/>
        <v>0</v>
      </c>
      <c r="BK313" s="122"/>
      <c r="BL313" s="122"/>
      <c r="BM313" s="122"/>
      <c r="BN313" s="122" t="s">
        <v>675</v>
      </c>
      <c r="BO313" s="122" t="s">
        <v>1706</v>
      </c>
      <c r="BP313" s="122" t="s">
        <v>677</v>
      </c>
      <c r="BQ313" s="122" t="s">
        <v>678</v>
      </c>
      <c r="BR313" s="122" t="s">
        <v>679</v>
      </c>
      <c r="BS313" s="122" t="s">
        <v>676</v>
      </c>
      <c r="BT313" s="55" t="s">
        <v>11</v>
      </c>
    </row>
    <row r="314" spans="1:77" s="3" customFormat="1" ht="78" hidden="1" customHeight="1" outlineLevel="1" x14ac:dyDescent="0.25">
      <c r="A314" s="124"/>
      <c r="B314" s="59">
        <v>40</v>
      </c>
      <c r="C314" s="67" t="s">
        <v>1328</v>
      </c>
      <c r="D314" s="122" t="s">
        <v>686</v>
      </c>
      <c r="E314" s="122">
        <v>2016</v>
      </c>
      <c r="F314" s="122">
        <v>118200</v>
      </c>
      <c r="G314" s="122">
        <v>111564.647</v>
      </c>
      <c r="H314" s="122"/>
      <c r="I314" s="122"/>
      <c r="J314" s="122"/>
      <c r="K314" s="122"/>
      <c r="L314" s="122"/>
      <c r="M314" s="122">
        <v>0</v>
      </c>
      <c r="N314" s="122">
        <f t="shared" si="320"/>
        <v>0</v>
      </c>
      <c r="O314" s="122">
        <v>100408</v>
      </c>
      <c r="P314" s="122">
        <v>1</v>
      </c>
      <c r="Q314" s="26">
        <v>0</v>
      </c>
      <c r="R314" s="122">
        <v>0</v>
      </c>
      <c r="S314" s="122">
        <f t="shared" si="326"/>
        <v>0</v>
      </c>
      <c r="T314" s="122"/>
      <c r="U314" s="26">
        <f t="shared" si="329"/>
        <v>0</v>
      </c>
      <c r="V314" s="122">
        <f t="shared" si="329"/>
        <v>0</v>
      </c>
      <c r="W314" s="122"/>
      <c r="X314" s="122">
        <f t="shared" si="330"/>
        <v>0</v>
      </c>
      <c r="Y314" s="122">
        <v>0</v>
      </c>
      <c r="Z314" s="122">
        <f t="shared" si="331"/>
        <v>0</v>
      </c>
      <c r="AA314" s="122">
        <v>0</v>
      </c>
      <c r="AB314" s="122"/>
      <c r="AC314" s="26">
        <f t="shared" si="325"/>
        <v>0</v>
      </c>
      <c r="AD314" s="122">
        <f t="shared" si="325"/>
        <v>0</v>
      </c>
      <c r="AE314" s="122"/>
      <c r="AF314" s="122">
        <f t="shared" si="318"/>
        <v>0</v>
      </c>
      <c r="AG314" s="122">
        <v>0</v>
      </c>
      <c r="AH314" s="122">
        <f t="shared" si="319"/>
        <v>0</v>
      </c>
      <c r="AI314" s="122">
        <f t="shared" si="321"/>
        <v>0</v>
      </c>
      <c r="AJ314" s="122"/>
      <c r="AK314" s="122"/>
      <c r="AL314" s="122">
        <v>100408</v>
      </c>
      <c r="AM314" s="122">
        <v>1</v>
      </c>
      <c r="AN314" s="122">
        <f t="shared" si="327"/>
        <v>0</v>
      </c>
      <c r="AO314" s="122"/>
      <c r="AP314" s="122">
        <f t="shared" si="322"/>
        <v>0</v>
      </c>
      <c r="AQ314" s="122"/>
      <c r="AR314" s="34">
        <f t="shared" si="324"/>
        <v>100408</v>
      </c>
      <c r="AS314" s="10">
        <f t="shared" si="324"/>
        <v>1</v>
      </c>
      <c r="AT314" s="10"/>
      <c r="AU314" s="10">
        <f t="shared" si="302"/>
        <v>0</v>
      </c>
      <c r="AV314" s="10">
        <v>100408</v>
      </c>
      <c r="AW314" s="10">
        <f t="shared" si="303"/>
        <v>1</v>
      </c>
      <c r="AX314" s="10">
        <f t="shared" si="323"/>
        <v>11156.444444444445</v>
      </c>
      <c r="AY314" s="10">
        <v>1</v>
      </c>
      <c r="AZ314" s="10"/>
      <c r="BA314" s="10">
        <v>0</v>
      </c>
      <c r="BB314" s="10">
        <v>0</v>
      </c>
      <c r="BC314" s="10">
        <f t="shared" si="328"/>
        <v>0</v>
      </c>
      <c r="BD314" s="10"/>
      <c r="BE314" s="26">
        <f t="shared" si="298"/>
        <v>0</v>
      </c>
      <c r="BF314" s="122">
        <f t="shared" si="298"/>
        <v>0</v>
      </c>
      <c r="BG314" s="122"/>
      <c r="BH314" s="122">
        <f t="shared" si="299"/>
        <v>0</v>
      </c>
      <c r="BI314" s="122"/>
      <c r="BJ314" s="122">
        <f t="shared" si="300"/>
        <v>0</v>
      </c>
      <c r="BK314" s="122"/>
      <c r="BL314" s="122"/>
      <c r="BM314" s="122"/>
      <c r="BN314" s="122" t="s">
        <v>687</v>
      </c>
      <c r="BO314" s="122" t="s">
        <v>1700</v>
      </c>
      <c r="BP314" s="122" t="s">
        <v>689</v>
      </c>
      <c r="BQ314" s="122" t="s">
        <v>613</v>
      </c>
      <c r="BR314" s="122" t="s">
        <v>614</v>
      </c>
      <c r="BS314" s="122" t="s">
        <v>688</v>
      </c>
      <c r="BT314" s="55" t="s">
        <v>11</v>
      </c>
    </row>
    <row r="315" spans="1:77" s="3" customFormat="1" ht="87" hidden="1" customHeight="1" outlineLevel="1" x14ac:dyDescent="0.25">
      <c r="A315" s="124"/>
      <c r="B315" s="59">
        <v>41</v>
      </c>
      <c r="C315" s="67" t="s">
        <v>1329</v>
      </c>
      <c r="D315" s="122" t="s">
        <v>691</v>
      </c>
      <c r="E315" s="122">
        <v>2016</v>
      </c>
      <c r="F315" s="122">
        <v>136991</v>
      </c>
      <c r="G315" s="122">
        <v>133171</v>
      </c>
      <c r="H315" s="122"/>
      <c r="I315" s="122"/>
      <c r="J315" s="122"/>
      <c r="K315" s="122"/>
      <c r="L315" s="122"/>
      <c r="M315" s="122">
        <v>0</v>
      </c>
      <c r="N315" s="122">
        <f t="shared" si="320"/>
        <v>0</v>
      </c>
      <c r="O315" s="122">
        <v>119854</v>
      </c>
      <c r="P315" s="122">
        <v>1</v>
      </c>
      <c r="Q315" s="26">
        <v>0</v>
      </c>
      <c r="R315" s="122">
        <v>0</v>
      </c>
      <c r="S315" s="122">
        <f t="shared" si="326"/>
        <v>0</v>
      </c>
      <c r="T315" s="122"/>
      <c r="U315" s="26">
        <f t="shared" si="329"/>
        <v>0</v>
      </c>
      <c r="V315" s="122">
        <f t="shared" si="329"/>
        <v>0</v>
      </c>
      <c r="W315" s="122"/>
      <c r="X315" s="122">
        <f t="shared" si="330"/>
        <v>0</v>
      </c>
      <c r="Y315" s="122">
        <v>0</v>
      </c>
      <c r="Z315" s="122">
        <f t="shared" si="331"/>
        <v>0</v>
      </c>
      <c r="AA315" s="122">
        <v>0</v>
      </c>
      <c r="AB315" s="122"/>
      <c r="AC315" s="26">
        <f t="shared" si="325"/>
        <v>0</v>
      </c>
      <c r="AD315" s="122">
        <f t="shared" si="325"/>
        <v>0</v>
      </c>
      <c r="AE315" s="122"/>
      <c r="AF315" s="122">
        <f t="shared" si="318"/>
        <v>0</v>
      </c>
      <c r="AG315" s="122">
        <v>0</v>
      </c>
      <c r="AH315" s="122">
        <f t="shared" si="319"/>
        <v>0</v>
      </c>
      <c r="AI315" s="122">
        <f t="shared" si="321"/>
        <v>0</v>
      </c>
      <c r="AJ315" s="122"/>
      <c r="AK315" s="122"/>
      <c r="AL315" s="122">
        <v>119854</v>
      </c>
      <c r="AM315" s="122">
        <v>1</v>
      </c>
      <c r="AN315" s="122">
        <f t="shared" si="327"/>
        <v>0</v>
      </c>
      <c r="AO315" s="122"/>
      <c r="AP315" s="122">
        <f t="shared" si="322"/>
        <v>0</v>
      </c>
      <c r="AQ315" s="122"/>
      <c r="AR315" s="34">
        <f t="shared" si="324"/>
        <v>119854</v>
      </c>
      <c r="AS315" s="10">
        <f t="shared" si="324"/>
        <v>1</v>
      </c>
      <c r="AT315" s="10"/>
      <c r="AU315" s="10">
        <f t="shared" si="302"/>
        <v>0</v>
      </c>
      <c r="AV315" s="10">
        <v>119854</v>
      </c>
      <c r="AW315" s="10">
        <f t="shared" si="303"/>
        <v>1</v>
      </c>
      <c r="AX315" s="10">
        <f t="shared" si="323"/>
        <v>13317.111111111109</v>
      </c>
      <c r="AY315" s="10">
        <v>1</v>
      </c>
      <c r="AZ315" s="10"/>
      <c r="BA315" s="10">
        <v>0</v>
      </c>
      <c r="BB315" s="10">
        <v>0</v>
      </c>
      <c r="BC315" s="10">
        <f t="shared" si="328"/>
        <v>0</v>
      </c>
      <c r="BD315" s="10"/>
      <c r="BE315" s="26">
        <f t="shared" si="298"/>
        <v>0</v>
      </c>
      <c r="BF315" s="122">
        <f t="shared" si="298"/>
        <v>0</v>
      </c>
      <c r="BG315" s="122"/>
      <c r="BH315" s="122">
        <f t="shared" si="299"/>
        <v>0</v>
      </c>
      <c r="BI315" s="122"/>
      <c r="BJ315" s="122">
        <f t="shared" si="300"/>
        <v>0</v>
      </c>
      <c r="BK315" s="122"/>
      <c r="BL315" s="122"/>
      <c r="BM315" s="122"/>
      <c r="BN315" s="122" t="s">
        <v>1299</v>
      </c>
      <c r="BO315" s="122" t="s">
        <v>1702</v>
      </c>
      <c r="BP315" s="122" t="s">
        <v>692</v>
      </c>
      <c r="BQ315" s="122" t="s">
        <v>626</v>
      </c>
      <c r="BR315" s="122" t="s">
        <v>573</v>
      </c>
      <c r="BS315" s="122" t="s">
        <v>586</v>
      </c>
      <c r="BT315" s="55" t="s">
        <v>11</v>
      </c>
    </row>
    <row r="316" spans="1:77" s="3" customFormat="1" ht="87.75" hidden="1" customHeight="1" outlineLevel="1" x14ac:dyDescent="0.25">
      <c r="A316" s="124"/>
      <c r="B316" s="59">
        <v>42</v>
      </c>
      <c r="C316" s="67" t="s">
        <v>1330</v>
      </c>
      <c r="D316" s="122" t="s">
        <v>694</v>
      </c>
      <c r="E316" s="122">
        <v>2016</v>
      </c>
      <c r="F316" s="122">
        <v>183221.1</v>
      </c>
      <c r="G316" s="122">
        <v>178341</v>
      </c>
      <c r="H316" s="122"/>
      <c r="I316" s="122"/>
      <c r="J316" s="122"/>
      <c r="K316" s="122"/>
      <c r="L316" s="122"/>
      <c r="M316" s="122">
        <v>0</v>
      </c>
      <c r="N316" s="122">
        <f t="shared" si="320"/>
        <v>0</v>
      </c>
      <c r="O316" s="122">
        <v>160507</v>
      </c>
      <c r="P316" s="122">
        <v>1</v>
      </c>
      <c r="Q316" s="26">
        <v>0</v>
      </c>
      <c r="R316" s="122">
        <v>0</v>
      </c>
      <c r="S316" s="122">
        <f t="shared" si="326"/>
        <v>0</v>
      </c>
      <c r="T316" s="122"/>
      <c r="U316" s="26">
        <f t="shared" si="329"/>
        <v>0</v>
      </c>
      <c r="V316" s="122">
        <f t="shared" si="329"/>
        <v>0</v>
      </c>
      <c r="W316" s="122"/>
      <c r="X316" s="122">
        <f t="shared" si="330"/>
        <v>0</v>
      </c>
      <c r="Y316" s="122"/>
      <c r="Z316" s="122">
        <f t="shared" si="331"/>
        <v>0</v>
      </c>
      <c r="AA316" s="122">
        <v>0</v>
      </c>
      <c r="AB316" s="122"/>
      <c r="AC316" s="26">
        <f t="shared" si="325"/>
        <v>0</v>
      </c>
      <c r="AD316" s="122">
        <f t="shared" si="325"/>
        <v>0</v>
      </c>
      <c r="AE316" s="122"/>
      <c r="AF316" s="122">
        <f t="shared" si="318"/>
        <v>0</v>
      </c>
      <c r="AG316" s="122"/>
      <c r="AH316" s="122">
        <f t="shared" si="319"/>
        <v>0</v>
      </c>
      <c r="AI316" s="122">
        <f t="shared" si="321"/>
        <v>0</v>
      </c>
      <c r="AJ316" s="122"/>
      <c r="AK316" s="122"/>
      <c r="AL316" s="122">
        <v>160507</v>
      </c>
      <c r="AM316" s="122">
        <v>1</v>
      </c>
      <c r="AN316" s="122">
        <f t="shared" si="327"/>
        <v>0</v>
      </c>
      <c r="AO316" s="122"/>
      <c r="AP316" s="122">
        <f t="shared" si="322"/>
        <v>0</v>
      </c>
      <c r="AQ316" s="122"/>
      <c r="AR316" s="34">
        <f t="shared" si="324"/>
        <v>160507</v>
      </c>
      <c r="AS316" s="10">
        <f t="shared" si="324"/>
        <v>1</v>
      </c>
      <c r="AT316" s="10"/>
      <c r="AU316" s="10">
        <f t="shared" si="302"/>
        <v>0</v>
      </c>
      <c r="AV316" s="10">
        <v>160507</v>
      </c>
      <c r="AW316" s="10">
        <f t="shared" si="303"/>
        <v>1</v>
      </c>
      <c r="AX316" s="10">
        <f t="shared" si="323"/>
        <v>17834.111111111109</v>
      </c>
      <c r="AY316" s="10">
        <v>1</v>
      </c>
      <c r="AZ316" s="10"/>
      <c r="BA316" s="10">
        <v>0</v>
      </c>
      <c r="BB316" s="10">
        <v>0</v>
      </c>
      <c r="BC316" s="10">
        <f t="shared" si="328"/>
        <v>0</v>
      </c>
      <c r="BD316" s="10"/>
      <c r="BE316" s="26">
        <f t="shared" si="298"/>
        <v>0</v>
      </c>
      <c r="BF316" s="122">
        <f t="shared" si="298"/>
        <v>0</v>
      </c>
      <c r="BG316" s="122"/>
      <c r="BH316" s="122">
        <f t="shared" si="299"/>
        <v>0</v>
      </c>
      <c r="BI316" s="122"/>
      <c r="BJ316" s="122">
        <f t="shared" si="300"/>
        <v>0</v>
      </c>
      <c r="BK316" s="122"/>
      <c r="BL316" s="122"/>
      <c r="BM316" s="122"/>
      <c r="BN316" s="122" t="s">
        <v>693</v>
      </c>
      <c r="BO316" s="122" t="s">
        <v>1702</v>
      </c>
      <c r="BP316" s="122" t="s">
        <v>695</v>
      </c>
      <c r="BQ316" s="122" t="s">
        <v>629</v>
      </c>
      <c r="BR316" s="122" t="s">
        <v>630</v>
      </c>
      <c r="BS316" s="122" t="s">
        <v>575</v>
      </c>
      <c r="BT316" s="55" t="s">
        <v>11</v>
      </c>
    </row>
    <row r="317" spans="1:77" s="3" customFormat="1" ht="89.25" hidden="1" customHeight="1" outlineLevel="1" x14ac:dyDescent="0.25">
      <c r="A317" s="124"/>
      <c r="B317" s="59">
        <v>43</v>
      </c>
      <c r="C317" s="67" t="s">
        <v>1331</v>
      </c>
      <c r="D317" s="122" t="s">
        <v>696</v>
      </c>
      <c r="E317" s="122">
        <v>2016</v>
      </c>
      <c r="F317" s="122">
        <v>108537</v>
      </c>
      <c r="G317" s="122">
        <v>101180</v>
      </c>
      <c r="H317" s="122"/>
      <c r="I317" s="122"/>
      <c r="J317" s="122"/>
      <c r="K317" s="122"/>
      <c r="L317" s="122"/>
      <c r="M317" s="122">
        <v>0</v>
      </c>
      <c r="N317" s="122">
        <f t="shared" si="320"/>
        <v>0</v>
      </c>
      <c r="O317" s="122">
        <v>91062</v>
      </c>
      <c r="P317" s="122">
        <v>1</v>
      </c>
      <c r="Q317" s="26">
        <v>0</v>
      </c>
      <c r="R317" s="122">
        <v>0</v>
      </c>
      <c r="S317" s="122">
        <f t="shared" si="326"/>
        <v>0</v>
      </c>
      <c r="T317" s="122"/>
      <c r="U317" s="26">
        <f t="shared" si="329"/>
        <v>0</v>
      </c>
      <c r="V317" s="122">
        <f t="shared" si="329"/>
        <v>0</v>
      </c>
      <c r="W317" s="122"/>
      <c r="X317" s="122">
        <f t="shared" si="330"/>
        <v>0</v>
      </c>
      <c r="Y317" s="122"/>
      <c r="Z317" s="122">
        <f t="shared" si="331"/>
        <v>0</v>
      </c>
      <c r="AA317" s="122">
        <v>0</v>
      </c>
      <c r="AB317" s="122"/>
      <c r="AC317" s="26">
        <f t="shared" si="325"/>
        <v>0</v>
      </c>
      <c r="AD317" s="122">
        <f t="shared" si="325"/>
        <v>0</v>
      </c>
      <c r="AE317" s="122"/>
      <c r="AF317" s="122">
        <f t="shared" si="318"/>
        <v>0</v>
      </c>
      <c r="AG317" s="122"/>
      <c r="AH317" s="122">
        <f t="shared" si="319"/>
        <v>0</v>
      </c>
      <c r="AI317" s="122">
        <f t="shared" si="321"/>
        <v>0</v>
      </c>
      <c r="AJ317" s="122"/>
      <c r="AK317" s="122"/>
      <c r="AL317" s="122">
        <v>91062</v>
      </c>
      <c r="AM317" s="122">
        <v>1</v>
      </c>
      <c r="AN317" s="122">
        <f t="shared" si="327"/>
        <v>0</v>
      </c>
      <c r="AO317" s="122"/>
      <c r="AP317" s="122">
        <f t="shared" si="322"/>
        <v>0</v>
      </c>
      <c r="AQ317" s="122"/>
      <c r="AR317" s="34">
        <f t="shared" si="324"/>
        <v>91062</v>
      </c>
      <c r="AS317" s="10">
        <f t="shared" si="324"/>
        <v>1</v>
      </c>
      <c r="AT317" s="10"/>
      <c r="AU317" s="10">
        <f t="shared" si="302"/>
        <v>0</v>
      </c>
      <c r="AV317" s="10">
        <v>91062</v>
      </c>
      <c r="AW317" s="10">
        <f t="shared" si="303"/>
        <v>1</v>
      </c>
      <c r="AX317" s="10">
        <f t="shared" si="323"/>
        <v>10118</v>
      </c>
      <c r="AY317" s="10">
        <v>1</v>
      </c>
      <c r="AZ317" s="10"/>
      <c r="BA317" s="10">
        <v>0</v>
      </c>
      <c r="BB317" s="10">
        <v>0</v>
      </c>
      <c r="BC317" s="10">
        <f t="shared" si="328"/>
        <v>0</v>
      </c>
      <c r="BD317" s="10"/>
      <c r="BE317" s="26">
        <f t="shared" ref="BE317:BF324" si="332">BG317+BI317</f>
        <v>0</v>
      </c>
      <c r="BF317" s="122">
        <f t="shared" si="332"/>
        <v>0</v>
      </c>
      <c r="BG317" s="122"/>
      <c r="BH317" s="122">
        <f t="shared" ref="BH317:BH324" si="333">IF(BG317,1,0)</f>
        <v>0</v>
      </c>
      <c r="BI317" s="122"/>
      <c r="BJ317" s="122">
        <f t="shared" ref="BJ317:BJ324" si="334">IF(BI317,1,0)</f>
        <v>0</v>
      </c>
      <c r="BK317" s="122"/>
      <c r="BL317" s="122"/>
      <c r="BM317" s="122"/>
      <c r="BN317" s="122" t="s">
        <v>697</v>
      </c>
      <c r="BO317" s="122" t="s">
        <v>1707</v>
      </c>
      <c r="BP317" s="122" t="s">
        <v>698</v>
      </c>
      <c r="BQ317" s="122" t="s">
        <v>594</v>
      </c>
      <c r="BR317" s="122" t="s">
        <v>583</v>
      </c>
      <c r="BS317" s="122" t="s">
        <v>586</v>
      </c>
      <c r="BT317" s="55" t="s">
        <v>11</v>
      </c>
    </row>
    <row r="318" spans="1:77" ht="103.5" hidden="1" customHeight="1" outlineLevel="1" x14ac:dyDescent="0.25">
      <c r="A318" s="124"/>
      <c r="B318" s="59">
        <v>44</v>
      </c>
      <c r="C318" s="67" t="s">
        <v>1332</v>
      </c>
      <c r="D318" s="122" t="s">
        <v>716</v>
      </c>
      <c r="E318" s="122">
        <v>2016</v>
      </c>
      <c r="F318" s="122">
        <v>88351</v>
      </c>
      <c r="G318" s="122">
        <v>81782</v>
      </c>
      <c r="H318" s="122"/>
      <c r="I318" s="122"/>
      <c r="J318" s="122"/>
      <c r="K318" s="122">
        <v>1</v>
      </c>
      <c r="L318" s="122"/>
      <c r="M318" s="122">
        <v>0</v>
      </c>
      <c r="N318" s="122">
        <f t="shared" si="320"/>
        <v>0</v>
      </c>
      <c r="O318" s="122">
        <v>73604</v>
      </c>
      <c r="P318" s="122">
        <v>1</v>
      </c>
      <c r="Q318" s="26">
        <v>0</v>
      </c>
      <c r="R318" s="122">
        <v>0</v>
      </c>
      <c r="S318" s="122">
        <f t="shared" si="326"/>
        <v>0</v>
      </c>
      <c r="T318" s="122"/>
      <c r="U318" s="26">
        <f t="shared" si="329"/>
        <v>0</v>
      </c>
      <c r="V318" s="122">
        <f t="shared" si="329"/>
        <v>0</v>
      </c>
      <c r="W318" s="122"/>
      <c r="X318" s="122">
        <f t="shared" si="330"/>
        <v>0</v>
      </c>
      <c r="Y318" s="122"/>
      <c r="Z318" s="122">
        <f t="shared" si="331"/>
        <v>0</v>
      </c>
      <c r="AA318" s="122">
        <v>0</v>
      </c>
      <c r="AB318" s="122"/>
      <c r="AC318" s="26">
        <f t="shared" si="325"/>
        <v>0</v>
      </c>
      <c r="AD318" s="122">
        <f t="shared" si="325"/>
        <v>0</v>
      </c>
      <c r="AE318" s="122"/>
      <c r="AF318" s="122">
        <f t="shared" si="318"/>
        <v>0</v>
      </c>
      <c r="AG318" s="122"/>
      <c r="AH318" s="122">
        <f t="shared" si="319"/>
        <v>0</v>
      </c>
      <c r="AI318" s="122">
        <f t="shared" si="321"/>
        <v>0</v>
      </c>
      <c r="AJ318" s="122"/>
      <c r="AK318" s="122"/>
      <c r="AL318" s="122">
        <v>73605</v>
      </c>
      <c r="AM318" s="122">
        <v>1</v>
      </c>
      <c r="AN318" s="122">
        <f t="shared" si="327"/>
        <v>0</v>
      </c>
      <c r="AO318" s="122"/>
      <c r="AP318" s="122">
        <f t="shared" si="322"/>
        <v>0</v>
      </c>
      <c r="AQ318" s="122"/>
      <c r="AR318" s="34">
        <f t="shared" si="324"/>
        <v>73605</v>
      </c>
      <c r="AS318" s="10">
        <f t="shared" si="324"/>
        <v>1</v>
      </c>
      <c r="AT318" s="10"/>
      <c r="AU318" s="10">
        <f t="shared" ref="AU318:AU324" si="335">IF(AT318,1,0)</f>
        <v>0</v>
      </c>
      <c r="AV318" s="10">
        <v>73605</v>
      </c>
      <c r="AW318" s="10">
        <f t="shared" ref="AW318:AW324" si="336">IF(AV318,1,0)</f>
        <v>1</v>
      </c>
      <c r="AX318" s="10">
        <f t="shared" si="323"/>
        <v>8178.333333333333</v>
      </c>
      <c r="AY318" s="10">
        <v>1</v>
      </c>
      <c r="AZ318" s="10"/>
      <c r="BA318" s="10">
        <v>0</v>
      </c>
      <c r="BB318" s="10">
        <v>0</v>
      </c>
      <c r="BC318" s="10">
        <f t="shared" si="328"/>
        <v>0</v>
      </c>
      <c r="BD318" s="10"/>
      <c r="BE318" s="26">
        <f t="shared" si="332"/>
        <v>0</v>
      </c>
      <c r="BF318" s="122">
        <f t="shared" si="332"/>
        <v>0</v>
      </c>
      <c r="BG318" s="122"/>
      <c r="BH318" s="122">
        <f t="shared" si="333"/>
        <v>0</v>
      </c>
      <c r="BI318" s="122"/>
      <c r="BJ318" s="122">
        <f t="shared" si="334"/>
        <v>0</v>
      </c>
      <c r="BK318" s="122"/>
      <c r="BL318" s="122"/>
      <c r="BM318" s="122"/>
      <c r="BN318" s="122" t="s">
        <v>717</v>
      </c>
      <c r="BO318" s="122" t="s">
        <v>1707</v>
      </c>
      <c r="BP318" s="122" t="s">
        <v>718</v>
      </c>
      <c r="BQ318" s="122" t="s">
        <v>620</v>
      </c>
      <c r="BR318" s="122" t="s">
        <v>614</v>
      </c>
      <c r="BS318" s="122" t="s">
        <v>690</v>
      </c>
      <c r="BT318" s="55" t="s">
        <v>11</v>
      </c>
    </row>
    <row r="319" spans="1:77" ht="85.5" hidden="1" customHeight="1" outlineLevel="1" x14ac:dyDescent="0.25">
      <c r="A319" s="124"/>
      <c r="B319" s="59">
        <v>45</v>
      </c>
      <c r="C319" s="67" t="s">
        <v>1304</v>
      </c>
      <c r="D319" s="122" t="s">
        <v>719</v>
      </c>
      <c r="E319" s="122">
        <v>2016</v>
      </c>
      <c r="F319" s="122">
        <v>161828.51</v>
      </c>
      <c r="G319" s="122">
        <v>157576</v>
      </c>
      <c r="H319" s="122"/>
      <c r="I319" s="122"/>
      <c r="J319" s="122"/>
      <c r="K319" s="122"/>
      <c r="L319" s="122"/>
      <c r="M319" s="122">
        <v>0</v>
      </c>
      <c r="N319" s="122">
        <f t="shared" si="320"/>
        <v>0</v>
      </c>
      <c r="O319" s="122">
        <v>141818</v>
      </c>
      <c r="P319" s="122">
        <v>1</v>
      </c>
      <c r="Q319" s="26">
        <v>0</v>
      </c>
      <c r="R319" s="122">
        <v>0</v>
      </c>
      <c r="S319" s="122">
        <f t="shared" si="326"/>
        <v>0</v>
      </c>
      <c r="T319" s="122"/>
      <c r="U319" s="26">
        <f t="shared" si="329"/>
        <v>0</v>
      </c>
      <c r="V319" s="122">
        <f t="shared" si="329"/>
        <v>0</v>
      </c>
      <c r="W319" s="122"/>
      <c r="X319" s="122">
        <f t="shared" si="330"/>
        <v>0</v>
      </c>
      <c r="Y319" s="122"/>
      <c r="Z319" s="122">
        <f t="shared" si="331"/>
        <v>0</v>
      </c>
      <c r="AA319" s="122">
        <v>0</v>
      </c>
      <c r="AB319" s="122"/>
      <c r="AC319" s="26">
        <f t="shared" si="325"/>
        <v>0</v>
      </c>
      <c r="AD319" s="122">
        <f t="shared" si="325"/>
        <v>0</v>
      </c>
      <c r="AE319" s="122"/>
      <c r="AF319" s="122">
        <f t="shared" si="318"/>
        <v>0</v>
      </c>
      <c r="AG319" s="122"/>
      <c r="AH319" s="122">
        <f t="shared" si="319"/>
        <v>0</v>
      </c>
      <c r="AI319" s="122">
        <f t="shared" si="321"/>
        <v>0</v>
      </c>
      <c r="AJ319" s="122"/>
      <c r="AK319" s="122"/>
      <c r="AL319" s="122">
        <v>141818</v>
      </c>
      <c r="AM319" s="122">
        <v>1</v>
      </c>
      <c r="AN319" s="122">
        <f t="shared" si="327"/>
        <v>0</v>
      </c>
      <c r="AO319" s="122"/>
      <c r="AP319" s="122">
        <f t="shared" si="322"/>
        <v>0</v>
      </c>
      <c r="AQ319" s="122"/>
      <c r="AR319" s="34">
        <f t="shared" si="324"/>
        <v>141818</v>
      </c>
      <c r="AS319" s="10">
        <f t="shared" si="324"/>
        <v>1</v>
      </c>
      <c r="AT319" s="10"/>
      <c r="AU319" s="10">
        <f t="shared" si="335"/>
        <v>0</v>
      </c>
      <c r="AV319" s="10">
        <v>141818</v>
      </c>
      <c r="AW319" s="10">
        <f t="shared" si="336"/>
        <v>1</v>
      </c>
      <c r="AX319" s="10">
        <f t="shared" si="323"/>
        <v>15757.555555555557</v>
      </c>
      <c r="AY319" s="10">
        <v>1</v>
      </c>
      <c r="AZ319" s="10"/>
      <c r="BA319" s="10">
        <v>0</v>
      </c>
      <c r="BB319" s="10">
        <v>0</v>
      </c>
      <c r="BC319" s="10">
        <f t="shared" si="328"/>
        <v>0</v>
      </c>
      <c r="BD319" s="10"/>
      <c r="BE319" s="26">
        <f t="shared" si="332"/>
        <v>0</v>
      </c>
      <c r="BF319" s="122">
        <f t="shared" si="332"/>
        <v>0</v>
      </c>
      <c r="BG319" s="122"/>
      <c r="BH319" s="122">
        <f t="shared" si="333"/>
        <v>0</v>
      </c>
      <c r="BI319" s="122"/>
      <c r="BJ319" s="122">
        <f t="shared" si="334"/>
        <v>0</v>
      </c>
      <c r="BK319" s="122"/>
      <c r="BL319" s="122"/>
      <c r="BM319" s="122"/>
      <c r="BN319" s="122" t="s">
        <v>720</v>
      </c>
      <c r="BO319" s="122" t="s">
        <v>1708</v>
      </c>
      <c r="BP319" s="122" t="s">
        <v>721</v>
      </c>
      <c r="BQ319" s="122" t="s">
        <v>629</v>
      </c>
      <c r="BR319" s="122" t="s">
        <v>630</v>
      </c>
      <c r="BS319" s="122" t="s">
        <v>586</v>
      </c>
      <c r="BT319" s="55" t="s">
        <v>11</v>
      </c>
    </row>
    <row r="320" spans="1:77" s="35" customFormat="1" ht="11.25" collapsed="1" x14ac:dyDescent="0.25">
      <c r="A320" s="48"/>
      <c r="B320" s="57">
        <v>3</v>
      </c>
      <c r="C320" s="26" t="s">
        <v>543</v>
      </c>
      <c r="D320" s="26"/>
      <c r="E320" s="26"/>
      <c r="F320" s="26">
        <f>F321</f>
        <v>796818</v>
      </c>
      <c r="G320" s="26">
        <f t="shared" ref="G320:BT320" si="337">G321</f>
        <v>787445.61</v>
      </c>
      <c r="H320" s="122"/>
      <c r="I320" s="122"/>
      <c r="J320" s="122"/>
      <c r="K320" s="122"/>
      <c r="L320" s="122"/>
      <c r="M320" s="26">
        <f t="shared" si="337"/>
        <v>0</v>
      </c>
      <c r="N320" s="26">
        <f t="shared" si="337"/>
        <v>0</v>
      </c>
      <c r="O320" s="26">
        <v>357831</v>
      </c>
      <c r="P320" s="26">
        <v>2</v>
      </c>
      <c r="Q320" s="26">
        <v>357831</v>
      </c>
      <c r="R320" s="26">
        <v>2</v>
      </c>
      <c r="S320" s="26">
        <f t="shared" si="337"/>
        <v>357831</v>
      </c>
      <c r="T320" s="26">
        <f t="shared" si="337"/>
        <v>0</v>
      </c>
      <c r="U320" s="26">
        <f t="shared" si="337"/>
        <v>357831</v>
      </c>
      <c r="V320" s="26">
        <f t="shared" si="337"/>
        <v>2</v>
      </c>
      <c r="W320" s="26">
        <f t="shared" si="337"/>
        <v>0</v>
      </c>
      <c r="X320" s="26">
        <f t="shared" si="337"/>
        <v>0</v>
      </c>
      <c r="Y320" s="26">
        <f t="shared" si="337"/>
        <v>357831</v>
      </c>
      <c r="Z320" s="26">
        <f t="shared" si="337"/>
        <v>2</v>
      </c>
      <c r="AA320" s="26">
        <f t="shared" si="337"/>
        <v>-357831</v>
      </c>
      <c r="AB320" s="26">
        <f t="shared" si="337"/>
        <v>0</v>
      </c>
      <c r="AC320" s="26">
        <f t="shared" si="337"/>
        <v>0</v>
      </c>
      <c r="AD320" s="26">
        <f t="shared" si="337"/>
        <v>0</v>
      </c>
      <c r="AE320" s="26">
        <f t="shared" si="337"/>
        <v>0</v>
      </c>
      <c r="AF320" s="26">
        <f t="shared" si="337"/>
        <v>0</v>
      </c>
      <c r="AG320" s="26">
        <f t="shared" si="337"/>
        <v>0</v>
      </c>
      <c r="AH320" s="26">
        <f t="shared" si="337"/>
        <v>0</v>
      </c>
      <c r="AI320" s="26">
        <f t="shared" si="337"/>
        <v>0</v>
      </c>
      <c r="AJ320" s="26">
        <f t="shared" si="337"/>
        <v>2</v>
      </c>
      <c r="AK320" s="26">
        <f t="shared" si="337"/>
        <v>0</v>
      </c>
      <c r="AL320" s="26">
        <f t="shared" si="337"/>
        <v>250870</v>
      </c>
      <c r="AM320" s="26">
        <f t="shared" si="337"/>
        <v>1</v>
      </c>
      <c r="AN320" s="26">
        <f t="shared" si="337"/>
        <v>-357831</v>
      </c>
      <c r="AO320" s="26">
        <f t="shared" si="337"/>
        <v>0</v>
      </c>
      <c r="AP320" s="26">
        <f t="shared" si="337"/>
        <v>357831</v>
      </c>
      <c r="AQ320" s="26">
        <f t="shared" si="337"/>
        <v>0</v>
      </c>
      <c r="AR320" s="26">
        <f t="shared" si="337"/>
        <v>608701</v>
      </c>
      <c r="AS320" s="26">
        <f t="shared" si="337"/>
        <v>3</v>
      </c>
      <c r="AT320" s="26">
        <f t="shared" si="337"/>
        <v>250870</v>
      </c>
      <c r="AU320" s="26">
        <f t="shared" si="337"/>
        <v>1</v>
      </c>
      <c r="AV320" s="26">
        <f t="shared" si="337"/>
        <v>357831</v>
      </c>
      <c r="AW320" s="26">
        <f t="shared" si="337"/>
        <v>2</v>
      </c>
      <c r="AX320" s="26">
        <f t="shared" si="337"/>
        <v>67633.444444444438</v>
      </c>
      <c r="AY320" s="26">
        <f t="shared" si="337"/>
        <v>1</v>
      </c>
      <c r="AZ320" s="26">
        <f t="shared" si="337"/>
        <v>0</v>
      </c>
      <c r="BA320" s="26">
        <v>2619000</v>
      </c>
      <c r="BB320" s="26">
        <v>16</v>
      </c>
      <c r="BC320" s="10">
        <f t="shared" si="328"/>
        <v>2619000</v>
      </c>
      <c r="BD320" s="26"/>
      <c r="BE320" s="26">
        <f t="shared" si="337"/>
        <v>0</v>
      </c>
      <c r="BF320" s="26">
        <f t="shared" si="337"/>
        <v>0</v>
      </c>
      <c r="BG320" s="26">
        <f t="shared" si="337"/>
        <v>0</v>
      </c>
      <c r="BH320" s="26">
        <f t="shared" si="337"/>
        <v>0</v>
      </c>
      <c r="BI320" s="26">
        <f t="shared" si="337"/>
        <v>0</v>
      </c>
      <c r="BJ320" s="26">
        <f t="shared" si="337"/>
        <v>0</v>
      </c>
      <c r="BK320" s="26">
        <f t="shared" si="337"/>
        <v>0</v>
      </c>
      <c r="BL320" s="26">
        <f t="shared" si="337"/>
        <v>0</v>
      </c>
      <c r="BM320" s="26">
        <f t="shared" si="337"/>
        <v>0</v>
      </c>
      <c r="BN320" s="26">
        <f t="shared" si="337"/>
        <v>0</v>
      </c>
      <c r="BO320" s="26">
        <f t="shared" si="337"/>
        <v>0</v>
      </c>
      <c r="BP320" s="26">
        <f t="shared" si="337"/>
        <v>0</v>
      </c>
      <c r="BQ320" s="26">
        <f t="shared" si="337"/>
        <v>0</v>
      </c>
      <c r="BR320" s="26">
        <f t="shared" si="337"/>
        <v>0</v>
      </c>
      <c r="BS320" s="26">
        <f t="shared" si="337"/>
        <v>0</v>
      </c>
      <c r="BT320" s="58">
        <f t="shared" si="337"/>
        <v>0</v>
      </c>
      <c r="BU320" s="25"/>
      <c r="BV320" s="25"/>
      <c r="BW320" s="25"/>
      <c r="BX320" s="25"/>
      <c r="BY320" s="25"/>
    </row>
    <row r="321" spans="1:72" ht="11.25" hidden="1" outlineLevel="1" x14ac:dyDescent="0.25">
      <c r="A321" s="124"/>
      <c r="B321" s="64">
        <v>3</v>
      </c>
      <c r="C321" s="38" t="s">
        <v>198</v>
      </c>
      <c r="D321" s="32"/>
      <c r="E321" s="32"/>
      <c r="F321" s="122">
        <f>SUM(F322:F324)</f>
        <v>796818</v>
      </c>
      <c r="G321" s="122">
        <f>SUM(G322:G324)</f>
        <v>787445.61</v>
      </c>
      <c r="H321" s="122"/>
      <c r="I321" s="122"/>
      <c r="J321" s="122"/>
      <c r="K321" s="122"/>
      <c r="L321" s="122"/>
      <c r="M321" s="122">
        <f>SUM(M322:M324)</f>
        <v>0</v>
      </c>
      <c r="N321" s="122">
        <f>SUM(N322:N324)</f>
        <v>0</v>
      </c>
      <c r="O321" s="122">
        <v>357831</v>
      </c>
      <c r="P321" s="122">
        <v>2</v>
      </c>
      <c r="Q321" s="26">
        <v>357831</v>
      </c>
      <c r="R321" s="122">
        <v>2</v>
      </c>
      <c r="S321" s="26">
        <f t="shared" ref="S321:AZ321" si="338">SUM(S322:S324)</f>
        <v>357831</v>
      </c>
      <c r="T321" s="26">
        <f t="shared" si="338"/>
        <v>0</v>
      </c>
      <c r="U321" s="26">
        <f t="shared" si="338"/>
        <v>357831</v>
      </c>
      <c r="V321" s="67">
        <f t="shared" si="338"/>
        <v>2</v>
      </c>
      <c r="W321" s="67">
        <f t="shared" si="338"/>
        <v>0</v>
      </c>
      <c r="X321" s="67">
        <f t="shared" si="338"/>
        <v>0</v>
      </c>
      <c r="Y321" s="67">
        <f t="shared" si="338"/>
        <v>357831</v>
      </c>
      <c r="Z321" s="67">
        <f t="shared" si="338"/>
        <v>2</v>
      </c>
      <c r="AA321" s="67">
        <f t="shared" si="338"/>
        <v>-357831</v>
      </c>
      <c r="AB321" s="67">
        <f t="shared" si="338"/>
        <v>0</v>
      </c>
      <c r="AC321" s="26">
        <f t="shared" si="338"/>
        <v>0</v>
      </c>
      <c r="AD321" s="122">
        <f t="shared" si="338"/>
        <v>0</v>
      </c>
      <c r="AE321" s="122">
        <f t="shared" si="338"/>
        <v>0</v>
      </c>
      <c r="AF321" s="122">
        <f t="shared" si="338"/>
        <v>0</v>
      </c>
      <c r="AG321" s="122">
        <f t="shared" si="338"/>
        <v>0</v>
      </c>
      <c r="AH321" s="122">
        <f t="shared" si="338"/>
        <v>0</v>
      </c>
      <c r="AI321" s="122">
        <f t="shared" si="338"/>
        <v>0</v>
      </c>
      <c r="AJ321" s="122">
        <f t="shared" si="338"/>
        <v>2</v>
      </c>
      <c r="AK321" s="122">
        <f t="shared" si="338"/>
        <v>0</v>
      </c>
      <c r="AL321" s="122">
        <f t="shared" si="338"/>
        <v>250870</v>
      </c>
      <c r="AM321" s="122">
        <f t="shared" si="338"/>
        <v>1</v>
      </c>
      <c r="AN321" s="122">
        <f t="shared" si="338"/>
        <v>-357831</v>
      </c>
      <c r="AO321" s="122">
        <f t="shared" si="338"/>
        <v>0</v>
      </c>
      <c r="AP321" s="122">
        <f t="shared" si="338"/>
        <v>357831</v>
      </c>
      <c r="AQ321" s="122">
        <f t="shared" si="338"/>
        <v>0</v>
      </c>
      <c r="AR321" s="26">
        <f t="shared" si="338"/>
        <v>608701</v>
      </c>
      <c r="AS321" s="122">
        <f t="shared" si="338"/>
        <v>3</v>
      </c>
      <c r="AT321" s="122">
        <f t="shared" si="338"/>
        <v>250870</v>
      </c>
      <c r="AU321" s="122">
        <f t="shared" si="338"/>
        <v>1</v>
      </c>
      <c r="AV321" s="122">
        <f t="shared" si="338"/>
        <v>357831</v>
      </c>
      <c r="AW321" s="122">
        <f t="shared" si="338"/>
        <v>2</v>
      </c>
      <c r="AX321" s="122">
        <f t="shared" si="338"/>
        <v>67633.444444444438</v>
      </c>
      <c r="AY321" s="122">
        <f t="shared" si="338"/>
        <v>1</v>
      </c>
      <c r="AZ321" s="122">
        <f t="shared" si="338"/>
        <v>0</v>
      </c>
      <c r="BA321" s="122">
        <v>2619000</v>
      </c>
      <c r="BB321" s="122">
        <v>16</v>
      </c>
      <c r="BC321" s="10">
        <f t="shared" si="328"/>
        <v>2619000</v>
      </c>
      <c r="BD321" s="122"/>
      <c r="BE321" s="26">
        <f t="shared" ref="BE321:BT321" si="339">SUM(BE322:BE324)</f>
        <v>0</v>
      </c>
      <c r="BF321" s="122">
        <f t="shared" si="339"/>
        <v>0</v>
      </c>
      <c r="BG321" s="122">
        <f t="shared" si="339"/>
        <v>0</v>
      </c>
      <c r="BH321" s="122">
        <f t="shared" si="339"/>
        <v>0</v>
      </c>
      <c r="BI321" s="122">
        <f t="shared" si="339"/>
        <v>0</v>
      </c>
      <c r="BJ321" s="122">
        <f t="shared" si="339"/>
        <v>0</v>
      </c>
      <c r="BK321" s="122">
        <f t="shared" si="339"/>
        <v>0</v>
      </c>
      <c r="BL321" s="122">
        <f t="shared" si="339"/>
        <v>0</v>
      </c>
      <c r="BM321" s="122">
        <f t="shared" si="339"/>
        <v>0</v>
      </c>
      <c r="BN321" s="122">
        <f t="shared" si="339"/>
        <v>0</v>
      </c>
      <c r="BO321" s="122">
        <f t="shared" si="339"/>
        <v>0</v>
      </c>
      <c r="BP321" s="122">
        <f t="shared" si="339"/>
        <v>0</v>
      </c>
      <c r="BQ321" s="122">
        <f t="shared" si="339"/>
        <v>0</v>
      </c>
      <c r="BR321" s="122">
        <f t="shared" si="339"/>
        <v>0</v>
      </c>
      <c r="BS321" s="122">
        <f t="shared" si="339"/>
        <v>0</v>
      </c>
      <c r="BT321" s="55">
        <f t="shared" si="339"/>
        <v>0</v>
      </c>
    </row>
    <row r="322" spans="1:72" s="3" customFormat="1" ht="56.25" hidden="1" outlineLevel="1" x14ac:dyDescent="0.25">
      <c r="A322" s="50"/>
      <c r="B322" s="59">
        <v>1</v>
      </c>
      <c r="C322" s="32" t="s">
        <v>161</v>
      </c>
      <c r="D322" s="32" t="s">
        <v>162</v>
      </c>
      <c r="E322" s="32">
        <v>2015</v>
      </c>
      <c r="F322" s="122">
        <v>174419</v>
      </c>
      <c r="G322" s="122">
        <v>171418.61</v>
      </c>
      <c r="H322" s="122"/>
      <c r="I322" s="122"/>
      <c r="J322" s="122"/>
      <c r="K322" s="122">
        <v>1</v>
      </c>
      <c r="L322" s="122">
        <v>1</v>
      </c>
      <c r="M322" s="122">
        <v>0</v>
      </c>
      <c r="N322" s="122">
        <f>AC322+AI322</f>
        <v>0</v>
      </c>
      <c r="O322" s="122">
        <v>154277</v>
      </c>
      <c r="P322" s="122">
        <v>1</v>
      </c>
      <c r="Q322" s="26">
        <v>154277</v>
      </c>
      <c r="R322" s="122">
        <v>1</v>
      </c>
      <c r="S322" s="122">
        <f t="shared" si="326"/>
        <v>154277</v>
      </c>
      <c r="T322" s="122"/>
      <c r="U322" s="26">
        <f t="shared" ref="U322:U323" si="340">W322+Y322</f>
        <v>154277</v>
      </c>
      <c r="V322" s="122">
        <f t="shared" ref="V322:V323" si="341">IF(U322,1,0)</f>
        <v>1</v>
      </c>
      <c r="W322" s="122">
        <v>0</v>
      </c>
      <c r="X322" s="122">
        <f t="shared" ref="X322" si="342">IF(W322,1,0)</f>
        <v>0</v>
      </c>
      <c r="Y322" s="122">
        <v>154277</v>
      </c>
      <c r="Z322" s="122">
        <f t="shared" ref="Z322" si="343">IF(Y322,1,0)</f>
        <v>1</v>
      </c>
      <c r="AA322" s="122">
        <v>-154277</v>
      </c>
      <c r="AB322" s="122"/>
      <c r="AC322" s="26">
        <f t="shared" si="325"/>
        <v>0</v>
      </c>
      <c r="AD322" s="122">
        <f t="shared" ref="AD322:AD324" si="344">IF(AC322,1,0)</f>
        <v>0</v>
      </c>
      <c r="AE322" s="122">
        <v>0</v>
      </c>
      <c r="AF322" s="122">
        <f t="shared" ref="AF322:AF324" si="345">IF(AE322,1,0)</f>
        <v>0</v>
      </c>
      <c r="AG322" s="122"/>
      <c r="AH322" s="122">
        <f t="shared" ref="AH322:AH324" si="346">IF(AG322,1,0)</f>
        <v>0</v>
      </c>
      <c r="AI322" s="122">
        <f>AG322/0.9*0.1</f>
        <v>0</v>
      </c>
      <c r="AJ322" s="122">
        <v>1</v>
      </c>
      <c r="AK322" s="122"/>
      <c r="AL322" s="122">
        <v>0</v>
      </c>
      <c r="AM322" s="122">
        <v>0</v>
      </c>
      <c r="AN322" s="122">
        <f t="shared" si="327"/>
        <v>-154277</v>
      </c>
      <c r="AO322" s="122"/>
      <c r="AP322" s="122">
        <f>U322-AC322</f>
        <v>154277</v>
      </c>
      <c r="AQ322" s="122"/>
      <c r="AR322" s="34">
        <f t="shared" si="324"/>
        <v>154277</v>
      </c>
      <c r="AS322" s="28">
        <v>1</v>
      </c>
      <c r="AT322" s="28">
        <v>0</v>
      </c>
      <c r="AU322" s="28">
        <v>0</v>
      </c>
      <c r="AV322" s="28">
        <f>154277</f>
        <v>154277</v>
      </c>
      <c r="AW322" s="10">
        <f t="shared" si="336"/>
        <v>1</v>
      </c>
      <c r="AX322" s="44">
        <f>AR322/0.9*0.1</f>
        <v>17141.888888888887</v>
      </c>
      <c r="AY322" s="28"/>
      <c r="AZ322" s="28"/>
      <c r="BA322" s="28">
        <v>0</v>
      </c>
      <c r="BB322" s="28">
        <v>0</v>
      </c>
      <c r="BC322" s="10">
        <f t="shared" si="328"/>
        <v>0</v>
      </c>
      <c r="BD322" s="28"/>
      <c r="BE322" s="26">
        <f t="shared" si="332"/>
        <v>0</v>
      </c>
      <c r="BF322" s="122">
        <f t="shared" si="332"/>
        <v>0</v>
      </c>
      <c r="BG322" s="122"/>
      <c r="BH322" s="122">
        <f t="shared" si="333"/>
        <v>0</v>
      </c>
      <c r="BI322" s="122"/>
      <c r="BJ322" s="122">
        <f t="shared" si="334"/>
        <v>0</v>
      </c>
      <c r="BK322" s="122"/>
      <c r="BL322" s="122"/>
      <c r="BM322" s="122"/>
      <c r="BN322" s="122" t="s">
        <v>163</v>
      </c>
      <c r="BO322" s="122" t="s">
        <v>1506</v>
      </c>
      <c r="BP322" s="122" t="s">
        <v>166</v>
      </c>
      <c r="BQ322" s="122" t="s">
        <v>164</v>
      </c>
      <c r="BR322" s="122" t="s">
        <v>165</v>
      </c>
      <c r="BS322" s="122" t="s">
        <v>167</v>
      </c>
      <c r="BT322" s="55" t="s">
        <v>1345</v>
      </c>
    </row>
    <row r="323" spans="1:72" s="3" customFormat="1" ht="56.25" hidden="1" customHeight="1" outlineLevel="1" x14ac:dyDescent="0.25">
      <c r="A323" s="50"/>
      <c r="B323" s="59">
        <v>2</v>
      </c>
      <c r="C323" s="32" t="s">
        <v>1434</v>
      </c>
      <c r="D323" s="32" t="s">
        <v>1435</v>
      </c>
      <c r="E323" s="32">
        <v>2015</v>
      </c>
      <c r="F323" s="122">
        <v>226543</v>
      </c>
      <c r="G323" s="122">
        <v>226171</v>
      </c>
      <c r="H323" s="122"/>
      <c r="I323" s="122"/>
      <c r="J323" s="122"/>
      <c r="K323" s="122">
        <v>1</v>
      </c>
      <c r="L323" s="122">
        <v>1</v>
      </c>
      <c r="M323" s="122">
        <v>0</v>
      </c>
      <c r="N323" s="122">
        <f t="shared" ref="N323:N324" si="347">AC323+AI323</f>
        <v>0</v>
      </c>
      <c r="O323" s="122">
        <v>203554</v>
      </c>
      <c r="P323" s="122">
        <v>1</v>
      </c>
      <c r="Q323" s="26">
        <v>203554</v>
      </c>
      <c r="R323" s="122">
        <v>1</v>
      </c>
      <c r="S323" s="122">
        <f t="shared" si="326"/>
        <v>203554</v>
      </c>
      <c r="T323" s="122"/>
      <c r="U323" s="26">
        <f t="shared" si="340"/>
        <v>203554</v>
      </c>
      <c r="V323" s="122">
        <f t="shared" si="341"/>
        <v>1</v>
      </c>
      <c r="W323" s="122"/>
      <c r="X323" s="122"/>
      <c r="Y323" s="122">
        <v>203554</v>
      </c>
      <c r="Z323" s="122">
        <v>1</v>
      </c>
      <c r="AA323" s="122">
        <v>-203554</v>
      </c>
      <c r="AB323" s="122"/>
      <c r="AC323" s="26">
        <f t="shared" si="325"/>
        <v>0</v>
      </c>
      <c r="AD323" s="122">
        <f t="shared" si="344"/>
        <v>0</v>
      </c>
      <c r="AE323" s="122"/>
      <c r="AF323" s="122"/>
      <c r="AG323" s="122"/>
      <c r="AH323" s="122">
        <f t="shared" si="346"/>
        <v>0</v>
      </c>
      <c r="AI323" s="122">
        <f>AG323/0.9*0.1</f>
        <v>0</v>
      </c>
      <c r="AJ323" s="122">
        <v>1</v>
      </c>
      <c r="AK323" s="122"/>
      <c r="AL323" s="122">
        <v>0</v>
      </c>
      <c r="AM323" s="122">
        <v>0</v>
      </c>
      <c r="AN323" s="122">
        <f t="shared" si="327"/>
        <v>-203554</v>
      </c>
      <c r="AO323" s="122"/>
      <c r="AP323" s="122">
        <f>U323-AC323</f>
        <v>203554</v>
      </c>
      <c r="AQ323" s="122"/>
      <c r="AR323" s="34">
        <f t="shared" si="324"/>
        <v>203554</v>
      </c>
      <c r="AS323" s="10">
        <f t="shared" si="324"/>
        <v>1</v>
      </c>
      <c r="AT323" s="28"/>
      <c r="AU323" s="10">
        <f t="shared" si="335"/>
        <v>0</v>
      </c>
      <c r="AV323" s="28">
        <f>203554</f>
        <v>203554</v>
      </c>
      <c r="AW323" s="10">
        <f t="shared" si="336"/>
        <v>1</v>
      </c>
      <c r="AX323" s="44">
        <f t="shared" ref="AX323:AX324" si="348">AR323/0.9*0.1</f>
        <v>22617.111111111109</v>
      </c>
      <c r="AY323" s="28"/>
      <c r="AZ323" s="28"/>
      <c r="BA323" s="28"/>
      <c r="BB323" s="28"/>
      <c r="BC323" s="10">
        <f t="shared" si="328"/>
        <v>0</v>
      </c>
      <c r="BD323" s="28"/>
      <c r="BE323" s="26"/>
      <c r="BF323" s="122"/>
      <c r="BG323" s="122"/>
      <c r="BH323" s="122"/>
      <c r="BI323" s="122"/>
      <c r="BJ323" s="122"/>
      <c r="BK323" s="122"/>
      <c r="BL323" s="122"/>
      <c r="BM323" s="122"/>
      <c r="BN323" s="122" t="s">
        <v>1436</v>
      </c>
      <c r="BO323" s="122" t="s">
        <v>1507</v>
      </c>
      <c r="BP323" s="122" t="s">
        <v>1508</v>
      </c>
      <c r="BQ323" s="122" t="s">
        <v>1439</v>
      </c>
      <c r="BR323" s="122" t="s">
        <v>1509</v>
      </c>
      <c r="BS323" s="122" t="s">
        <v>1438</v>
      </c>
      <c r="BT323" s="55" t="s">
        <v>1437</v>
      </c>
    </row>
    <row r="324" spans="1:72" s="3" customFormat="1" ht="44.25" hidden="1" customHeight="1" outlineLevel="1" x14ac:dyDescent="0.25">
      <c r="A324" s="51"/>
      <c r="B324" s="59">
        <v>3</v>
      </c>
      <c r="C324" s="119" t="s">
        <v>1738</v>
      </c>
      <c r="D324" s="119" t="s">
        <v>1510</v>
      </c>
      <c r="E324" s="119" t="s">
        <v>1117</v>
      </c>
      <c r="F324" s="41">
        <v>395856</v>
      </c>
      <c r="G324" s="41">
        <v>389856</v>
      </c>
      <c r="H324" s="41"/>
      <c r="I324" s="41"/>
      <c r="J324" s="41"/>
      <c r="K324" s="41"/>
      <c r="L324" s="41"/>
      <c r="M324" s="41">
        <v>0</v>
      </c>
      <c r="N324" s="122">
        <f t="shared" si="347"/>
        <v>0</v>
      </c>
      <c r="O324" s="122">
        <v>0</v>
      </c>
      <c r="P324" s="122">
        <v>0</v>
      </c>
      <c r="Q324" s="26">
        <v>0</v>
      </c>
      <c r="R324" s="122">
        <v>0</v>
      </c>
      <c r="S324" s="122">
        <f t="shared" si="326"/>
        <v>0</v>
      </c>
      <c r="T324" s="122"/>
      <c r="U324" s="26"/>
      <c r="V324" s="122"/>
      <c r="W324" s="122"/>
      <c r="X324" s="122"/>
      <c r="Y324" s="122"/>
      <c r="Z324" s="122"/>
      <c r="AA324" s="122">
        <v>0</v>
      </c>
      <c r="AB324" s="122"/>
      <c r="AC324" s="26">
        <f t="shared" si="325"/>
        <v>0</v>
      </c>
      <c r="AD324" s="122">
        <f t="shared" si="344"/>
        <v>0</v>
      </c>
      <c r="AE324" s="41"/>
      <c r="AF324" s="122">
        <f t="shared" si="345"/>
        <v>0</v>
      </c>
      <c r="AG324" s="41">
        <v>0</v>
      </c>
      <c r="AH324" s="122">
        <f t="shared" si="346"/>
        <v>0</v>
      </c>
      <c r="AI324" s="41">
        <v>0</v>
      </c>
      <c r="AJ324" s="41"/>
      <c r="AK324" s="41"/>
      <c r="AL324" s="41">
        <v>250870</v>
      </c>
      <c r="AM324" s="41">
        <v>1</v>
      </c>
      <c r="AN324" s="122">
        <f t="shared" si="327"/>
        <v>0</v>
      </c>
      <c r="AO324" s="41"/>
      <c r="AP324" s="41"/>
      <c r="AQ324" s="41"/>
      <c r="AR324" s="34">
        <f t="shared" si="324"/>
        <v>250870</v>
      </c>
      <c r="AS324" s="10">
        <f t="shared" si="324"/>
        <v>1</v>
      </c>
      <c r="AT324" s="44">
        <v>250870</v>
      </c>
      <c r="AU324" s="10">
        <f t="shared" si="335"/>
        <v>1</v>
      </c>
      <c r="AV324" s="39"/>
      <c r="AW324" s="10">
        <f t="shared" si="336"/>
        <v>0</v>
      </c>
      <c r="AX324" s="44">
        <f t="shared" si="348"/>
        <v>27874.444444444445</v>
      </c>
      <c r="AY324" s="44">
        <v>1</v>
      </c>
      <c r="AZ324" s="44"/>
      <c r="BA324" s="44">
        <v>0</v>
      </c>
      <c r="BB324" s="44">
        <v>0</v>
      </c>
      <c r="BC324" s="10">
        <f t="shared" si="328"/>
        <v>0</v>
      </c>
      <c r="BD324" s="44"/>
      <c r="BE324" s="26">
        <f t="shared" si="332"/>
        <v>0</v>
      </c>
      <c r="BF324" s="122">
        <f t="shared" si="332"/>
        <v>0</v>
      </c>
      <c r="BG324" s="41"/>
      <c r="BH324" s="122">
        <f t="shared" si="333"/>
        <v>0</v>
      </c>
      <c r="BI324" s="41"/>
      <c r="BJ324" s="122">
        <f t="shared" si="334"/>
        <v>0</v>
      </c>
      <c r="BK324" s="41"/>
      <c r="BL324" s="41"/>
      <c r="BM324" s="41"/>
      <c r="BN324" s="41" t="s">
        <v>1712</v>
      </c>
      <c r="BO324" s="41" t="s">
        <v>266</v>
      </c>
      <c r="BP324" s="41" t="s">
        <v>1512</v>
      </c>
      <c r="BQ324" s="41" t="s">
        <v>1713</v>
      </c>
      <c r="BR324" s="41" t="s">
        <v>1511</v>
      </c>
      <c r="BS324" s="41" t="s">
        <v>266</v>
      </c>
      <c r="BT324" s="56" t="s">
        <v>266</v>
      </c>
    </row>
    <row r="325" spans="1:72" s="3" customFormat="1" ht="24.75" hidden="1" customHeight="1" outlineLevel="1" x14ac:dyDescent="0.25">
      <c r="A325" s="22"/>
      <c r="B325" s="91"/>
      <c r="C325" s="37"/>
      <c r="D325" s="37"/>
      <c r="E325" s="37"/>
      <c r="F325" s="92"/>
      <c r="G325" s="92"/>
      <c r="H325" s="92"/>
      <c r="I325" s="92"/>
      <c r="J325" s="92"/>
      <c r="K325" s="92"/>
      <c r="L325" s="92"/>
      <c r="M325" s="92"/>
      <c r="N325" s="36"/>
      <c r="O325" s="36"/>
      <c r="P325" s="36"/>
      <c r="Q325" s="96"/>
      <c r="R325" s="96"/>
      <c r="S325" s="96"/>
      <c r="T325" s="96"/>
      <c r="U325" s="96"/>
      <c r="V325" s="96"/>
      <c r="W325" s="96"/>
      <c r="X325" s="96"/>
      <c r="Y325" s="96"/>
      <c r="Z325" s="96"/>
      <c r="AA325" s="96"/>
      <c r="AB325" s="96"/>
      <c r="AC325" s="96"/>
      <c r="AD325" s="96"/>
      <c r="AE325" s="97"/>
      <c r="AF325" s="96"/>
      <c r="AG325" s="97"/>
      <c r="AH325" s="96"/>
      <c r="AI325" s="97"/>
      <c r="AJ325" s="97"/>
      <c r="AK325" s="97"/>
      <c r="AL325" s="97"/>
      <c r="AM325" s="97"/>
      <c r="AN325" s="97"/>
      <c r="AO325" s="97"/>
      <c r="AP325" s="97"/>
      <c r="AQ325" s="97"/>
      <c r="AR325" s="98"/>
      <c r="AS325" s="93"/>
      <c r="AT325" s="94"/>
      <c r="AU325" s="93"/>
      <c r="AV325" s="95"/>
      <c r="AW325" s="93"/>
      <c r="AX325" s="94"/>
      <c r="AY325" s="94"/>
      <c r="AZ325" s="94"/>
      <c r="BA325" s="94"/>
      <c r="BB325" s="94"/>
      <c r="BC325" s="94"/>
      <c r="BD325" s="94"/>
      <c r="BE325" s="96"/>
      <c r="BF325" s="36"/>
      <c r="BG325" s="92"/>
      <c r="BH325" s="36"/>
      <c r="BI325" s="92"/>
      <c r="BJ325" s="36"/>
      <c r="BK325" s="92"/>
      <c r="BL325" s="92"/>
      <c r="BM325" s="92"/>
      <c r="BN325" s="92"/>
      <c r="BO325" s="92"/>
      <c r="BP325" s="92"/>
      <c r="BQ325" s="92"/>
      <c r="BR325" s="92"/>
      <c r="BS325" s="92"/>
      <c r="BT325" s="92"/>
    </row>
    <row r="326" spans="1:72" s="3" customFormat="1" ht="25.5" customHeight="1" collapsed="1" x14ac:dyDescent="0.25">
      <c r="A326" s="1"/>
      <c r="B326" s="1"/>
      <c r="C326" s="1"/>
      <c r="D326" s="1"/>
      <c r="E326" s="88" t="s">
        <v>1771</v>
      </c>
      <c r="F326" s="90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90"/>
      <c r="AD326" s="20"/>
      <c r="AE326" s="20"/>
      <c r="AF326" s="20"/>
      <c r="AG326" s="20"/>
      <c r="AH326" s="88" t="s">
        <v>1773</v>
      </c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  <c r="BE326" s="20"/>
      <c r="BF326" s="84"/>
      <c r="BG326" s="85"/>
      <c r="BH326" s="85"/>
      <c r="BI326" s="85"/>
      <c r="BJ326" s="85"/>
      <c r="BK326" s="85"/>
      <c r="BL326" s="85"/>
      <c r="BM326" s="85"/>
      <c r="BN326" s="24"/>
    </row>
    <row r="327" spans="1:72" s="3" customFormat="1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86"/>
      <c r="AT327" s="86"/>
      <c r="AU327" s="86"/>
      <c r="AV327" s="86"/>
      <c r="AW327" s="86"/>
      <c r="AX327" s="86"/>
      <c r="AY327" s="86"/>
      <c r="AZ327" s="86"/>
      <c r="BA327" s="86"/>
      <c r="BB327" s="86"/>
      <c r="BC327" s="86"/>
      <c r="BD327" s="86"/>
      <c r="BE327" s="86"/>
      <c r="BF327" s="86"/>
      <c r="BG327" s="87"/>
      <c r="BH327" s="87"/>
      <c r="BI327" s="87"/>
      <c r="BJ327" s="87"/>
      <c r="BK327" s="87"/>
      <c r="BL327" s="87"/>
      <c r="BM327" s="87"/>
      <c r="BN327" s="24"/>
    </row>
    <row r="328" spans="1:72" s="3" customFormat="1" ht="17.25" customHeight="1" x14ac:dyDescent="0.25">
      <c r="A328" s="1"/>
      <c r="B328" s="1"/>
      <c r="C328" s="1"/>
      <c r="D328" s="1"/>
      <c r="E328" s="90" t="s">
        <v>1770</v>
      </c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90" t="s">
        <v>1772</v>
      </c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  <c r="BH328" s="20"/>
      <c r="BI328" s="20"/>
      <c r="BJ328" s="20"/>
      <c r="BK328" s="20"/>
      <c r="BL328" s="20"/>
      <c r="BM328" s="20"/>
      <c r="BN328" s="24"/>
    </row>
    <row r="329" spans="1:72" s="3" customFormat="1" ht="12" customHeight="1" x14ac:dyDescent="0.25">
      <c r="A329" s="1"/>
      <c r="B329" s="1"/>
      <c r="E329" s="40"/>
      <c r="F329" s="21"/>
      <c r="G329" s="22"/>
      <c r="H329" s="22"/>
      <c r="I329" s="22"/>
      <c r="J329" s="22"/>
      <c r="K329" s="22"/>
      <c r="L329" s="22"/>
      <c r="M329" s="22"/>
      <c r="N329" s="23"/>
      <c r="O329" s="23"/>
      <c r="P329" s="40"/>
      <c r="Q329" s="83"/>
      <c r="R329" s="83"/>
      <c r="S329" s="83"/>
      <c r="T329" s="83"/>
      <c r="U329" s="83"/>
      <c r="V329" s="83"/>
      <c r="W329" s="83"/>
      <c r="X329" s="83"/>
      <c r="Y329" s="83"/>
      <c r="Z329" s="83"/>
      <c r="AA329" s="83"/>
      <c r="AB329" s="83"/>
      <c r="AC329" s="83"/>
      <c r="AD329" s="83"/>
      <c r="AE329" s="83"/>
      <c r="AF329" s="83"/>
      <c r="AG329" s="83"/>
      <c r="AH329" s="83"/>
      <c r="AI329" s="83"/>
      <c r="AJ329" s="83"/>
      <c r="AK329" s="83"/>
      <c r="AL329" s="83"/>
      <c r="AM329" s="83"/>
      <c r="AN329" s="83"/>
      <c r="AO329" s="83"/>
      <c r="AP329" s="83"/>
      <c r="AQ329" s="83"/>
      <c r="AR329" s="82"/>
      <c r="AS329" s="82"/>
      <c r="AT329" s="82"/>
      <c r="AU329" s="82"/>
      <c r="AV329" s="82"/>
      <c r="AW329" s="82"/>
      <c r="AX329" s="82"/>
      <c r="AY329" s="82"/>
      <c r="AZ329" s="82"/>
      <c r="BA329" s="82"/>
      <c r="BB329" s="82"/>
      <c r="BC329" s="82"/>
      <c r="BD329" s="82"/>
      <c r="BE329" s="82"/>
      <c r="BF329" s="82"/>
      <c r="BG329" s="65"/>
      <c r="BH329" s="65"/>
      <c r="BI329" s="65"/>
      <c r="BJ329" s="65"/>
      <c r="BK329" s="65"/>
      <c r="BL329" s="65"/>
      <c r="BM329" s="65"/>
    </row>
    <row r="330" spans="1:72" s="3" customFormat="1" ht="15" customHeight="1" x14ac:dyDescent="0.25">
      <c r="A330" s="1"/>
      <c r="B330" s="1"/>
      <c r="C330" s="1"/>
      <c r="D330" s="1"/>
      <c r="E330" s="90" t="s">
        <v>1825</v>
      </c>
      <c r="F330" s="88"/>
      <c r="G330" s="88"/>
      <c r="H330" s="88"/>
      <c r="I330" s="88"/>
      <c r="J330" s="88"/>
      <c r="K330" s="88"/>
      <c r="L330" s="88"/>
      <c r="M330" s="88"/>
      <c r="N330" s="88"/>
      <c r="O330" s="88"/>
      <c r="P330" s="88"/>
      <c r="Q330" s="89"/>
      <c r="R330" s="81"/>
      <c r="S330" s="81"/>
      <c r="T330" s="81"/>
      <c r="U330" s="81"/>
      <c r="V330" s="81"/>
      <c r="W330" s="81"/>
      <c r="X330" s="81"/>
      <c r="Y330" s="81"/>
      <c r="Z330" s="81"/>
      <c r="AA330" s="81"/>
      <c r="AB330" s="81"/>
      <c r="AC330" s="89"/>
      <c r="AD330" s="81"/>
      <c r="AE330" s="81"/>
      <c r="AF330" s="81"/>
      <c r="AG330" s="81"/>
      <c r="AH330" s="88" t="s">
        <v>1826</v>
      </c>
      <c r="AI330" s="81"/>
      <c r="AJ330" s="81"/>
      <c r="AK330" s="81"/>
      <c r="AL330" s="81"/>
      <c r="AM330" s="81"/>
      <c r="AN330" s="81"/>
      <c r="AO330" s="81"/>
      <c r="AP330" s="81"/>
      <c r="AQ330" s="81"/>
      <c r="AR330" s="86"/>
      <c r="AS330" s="65"/>
      <c r="AT330" s="65"/>
      <c r="AU330" s="65"/>
      <c r="AV330" s="65"/>
      <c r="AW330" s="65"/>
      <c r="AX330" s="65"/>
      <c r="AY330" s="65"/>
      <c r="AZ330" s="65"/>
      <c r="BA330" s="65"/>
      <c r="BB330" s="65"/>
      <c r="BC330" s="65"/>
      <c r="BD330" s="65"/>
      <c r="BE330" s="65"/>
    </row>
    <row r="331" spans="1:72" s="3" customFormat="1" ht="21.75" customHeight="1" x14ac:dyDescent="0.25">
      <c r="A331" s="1"/>
      <c r="B331" s="1"/>
      <c r="C331" s="1"/>
      <c r="D331" s="1"/>
      <c r="E331" s="1"/>
      <c r="Q331" s="65"/>
      <c r="R331" s="65"/>
      <c r="S331" s="65"/>
      <c r="T331" s="65"/>
      <c r="U331" s="65"/>
      <c r="V331" s="65"/>
      <c r="W331" s="65"/>
      <c r="X331" s="65"/>
      <c r="Y331" s="65"/>
      <c r="Z331" s="65"/>
      <c r="AA331" s="65"/>
      <c r="AB331" s="65"/>
      <c r="AC331" s="65"/>
      <c r="AD331" s="65"/>
      <c r="AE331" s="65"/>
      <c r="AF331" s="65"/>
      <c r="AG331" s="65"/>
      <c r="AH331" s="65"/>
      <c r="AI331" s="65"/>
      <c r="AJ331" s="65"/>
      <c r="AK331" s="65"/>
      <c r="AL331" s="65"/>
      <c r="AM331" s="65"/>
      <c r="AN331" s="65"/>
      <c r="AO331" s="65"/>
      <c r="AP331" s="65"/>
      <c r="AQ331" s="65"/>
      <c r="AR331" s="65"/>
      <c r="AS331" s="65"/>
      <c r="AT331" s="65"/>
      <c r="AU331" s="65"/>
      <c r="AV331" s="65"/>
      <c r="AW331" s="65"/>
      <c r="AX331" s="65"/>
      <c r="AY331" s="65"/>
      <c r="AZ331" s="65"/>
      <c r="BA331" s="65"/>
      <c r="BB331" s="65"/>
      <c r="BC331" s="65"/>
      <c r="BD331" s="65"/>
      <c r="BE331" s="65"/>
    </row>
    <row r="332" spans="1:72" s="3" customFormat="1" ht="23.25" customHeight="1" x14ac:dyDescent="0.25">
      <c r="A332" s="1"/>
      <c r="B332" s="1"/>
      <c r="C332" s="1"/>
      <c r="D332" s="1"/>
      <c r="AJ332" s="20"/>
      <c r="AK332" s="20"/>
      <c r="AL332" s="20"/>
      <c r="AM332" s="20"/>
      <c r="AN332" s="20"/>
      <c r="AO332" s="20"/>
      <c r="AP332" s="20"/>
      <c r="AQ332" s="20"/>
      <c r="AR332" s="20"/>
    </row>
    <row r="333" spans="1:72" s="3" customFormat="1" ht="61.5" customHeight="1" x14ac:dyDescent="0.25">
      <c r="A333" s="1"/>
      <c r="B333" s="1"/>
      <c r="C333" s="1"/>
      <c r="D333" s="1"/>
      <c r="E333" s="1"/>
    </row>
    <row r="334" spans="1:72" s="3" customFormat="1" ht="61.5" customHeight="1" x14ac:dyDescent="0.25">
      <c r="A334" s="1"/>
      <c r="B334" s="1"/>
      <c r="C334" s="1"/>
      <c r="D334" s="1"/>
      <c r="E334" s="1"/>
    </row>
  </sheetData>
  <autoFilter ref="B22:BT326">
    <filterColumn colId="19">
      <filters blank="1">
        <filter val="1 077 837"/>
        <filter val="1 946 840"/>
        <filter val="100 000"/>
        <filter val="101 287"/>
        <filter val="102 402"/>
        <filter val="104 419"/>
        <filter val="107 896"/>
        <filter val="108 113"/>
        <filter val="110 000"/>
        <filter val="113 240"/>
        <filter val="113 881"/>
        <filter val="114 438"/>
        <filter val="118 106"/>
        <filter val="118 149"/>
        <filter val="120 000"/>
        <filter val="121 774"/>
        <filter val="122 895"/>
        <filter val="123 448"/>
        <filter val="124 184"/>
        <filter val="124 586"/>
        <filter val="127 986"/>
        <filter val="130 777"/>
        <filter val="131 710"/>
        <filter val="133 381"/>
        <filter val="134 699"/>
        <filter val="137 539"/>
        <filter val="138 442"/>
        <filter val="140 997"/>
        <filter val="142 694"/>
        <filter val="143 284"/>
        <filter val="145 586"/>
        <filter val="148 345"/>
        <filter val="150 000"/>
        <filter val="154 277"/>
        <filter val="158 562"/>
        <filter val="161 062"/>
        <filter val="162 386"/>
        <filter val="164 139"/>
        <filter val="164 956"/>
        <filter val="167 350"/>
        <filter val="167 529"/>
        <filter val="171 324"/>
        <filter val="174 682"/>
        <filter val="178 547"/>
        <filter val="179 351"/>
        <filter val="180 506"/>
        <filter val="181 422"/>
        <filter val="181 985"/>
        <filter val="182 520"/>
        <filter val="184 962"/>
        <filter val="185 661"/>
        <filter val="186 436"/>
        <filter val="186 618"/>
        <filter val="189 851"/>
        <filter val="194 220"/>
        <filter val="195 351"/>
        <filter val="197 913"/>
        <filter val="198 900"/>
        <filter val="199 366"/>
        <filter val="2 009 349"/>
        <filter val="2 259 279"/>
        <filter val="2 438 747"/>
        <filter val="2 789 833"/>
        <filter val="2 954 159"/>
        <filter val="200 000"/>
        <filter val="200 829"/>
        <filter val="201 839"/>
        <filter val="203 554"/>
        <filter val="203 790"/>
        <filter val="204 522"/>
        <filter val="207 706"/>
        <filter val="211 022"/>
        <filter val="211 894"/>
        <filter val="212 830"/>
        <filter val="214 363"/>
        <filter val="215 186"/>
        <filter val="218 025"/>
        <filter val="223 616"/>
        <filter val="226 587"/>
        <filter val="233 198"/>
        <filter val="233 302"/>
        <filter val="233 792"/>
        <filter val="236 206"/>
        <filter val="236 280"/>
        <filter val="238 056"/>
        <filter val="242 228"/>
        <filter val="243 822"/>
        <filter val="244 839"/>
        <filter val="246 068"/>
        <filter val="247 872"/>
        <filter val="248 477"/>
        <filter val="250 000"/>
        <filter val="267 823"/>
        <filter val="271 645"/>
        <filter val="273 252"/>
        <filter val="280 000"/>
        <filter val="284 949"/>
        <filter val="29 357"/>
        <filter val="290 211"/>
        <filter val="295 145"/>
        <filter val="295 439"/>
        <filter val="3 027 233"/>
        <filter val="3 070 228"/>
        <filter val="3 109 598"/>
        <filter val="3 239 833"/>
        <filter val="3 300 991"/>
        <filter val="3 312 456"/>
        <filter val="3 450 991"/>
        <filter val="3 548 093"/>
        <filter val="3 643 945"/>
        <filter val="300 000"/>
        <filter val="305 480"/>
        <filter val="305 560"/>
        <filter val="307 752"/>
        <filter val="312 380"/>
        <filter val="325 937"/>
        <filter val="325 986"/>
        <filter val="326 285"/>
        <filter val="327 839"/>
        <filter val="328 426"/>
        <filter val="335 823"/>
        <filter val="34 561 253"/>
        <filter val="343 374"/>
        <filter val="357 831"/>
        <filter val="37 000 000"/>
        <filter val="39 454"/>
        <filter val="4 247 209"/>
        <filter val="4 693 409"/>
        <filter val="411 859"/>
        <filter val="43 303"/>
        <filter val="43 469"/>
        <filter val="438 723"/>
        <filter val="44 512"/>
        <filter val="446 200"/>
        <filter val="450 000"/>
        <filter val="454 125"/>
        <filter val="46 381"/>
        <filter val="461 696"/>
        <filter val="479 434"/>
        <filter val="48 716"/>
        <filter val="487 384"/>
        <filter val="510 000"/>
        <filter val="513 206"/>
        <filter val="529 152"/>
        <filter val="54 722"/>
        <filter val="55 141"/>
        <filter val="55 433"/>
        <filter val="572 162"/>
        <filter val="580 490"/>
        <filter val="59 805"/>
        <filter val="627 957"/>
        <filter val="628 426"/>
        <filter val="63 179"/>
        <filter val="63 858"/>
        <filter val="634 340"/>
        <filter val="64 760"/>
        <filter val="65 534"/>
        <filter val="66 695"/>
        <filter val="67 377"/>
        <filter val="676 899"/>
        <filter val="68 545"/>
        <filter val="68 673"/>
        <filter val="69 747"/>
        <filter val="69 816"/>
        <filter val="69 877"/>
        <filter val="693 442"/>
        <filter val="70 000"/>
        <filter val="71 288"/>
        <filter val="71 508"/>
        <filter val="72 583"/>
        <filter val="74 659"/>
        <filter val="76 918"/>
        <filter val="769 712"/>
        <filter val="77 944"/>
        <filter val="792 939"/>
        <filter val="80 000"/>
        <filter val="80 821"/>
        <filter val="81 671"/>
        <filter val="82 850"/>
        <filter val="85 846"/>
        <filter val="85 974"/>
        <filter val="850 319"/>
        <filter val="87 164"/>
        <filter val="888 044"/>
        <filter val="89 983"/>
        <filter val="90 341"/>
        <filter val="92 575"/>
        <filter val="92 859"/>
        <filter val="95 804"/>
        <filter val="97 003"/>
        <filter val="98 912"/>
        <filter val="99 029"/>
        <filter val="99 233"/>
      </filters>
    </filterColumn>
    <filterColumn colId="29" showButton="0"/>
    <filterColumn colId="30" showButton="0"/>
    <filterColumn colId="31" showButton="0"/>
    <filterColumn colId="44" showButton="0"/>
    <filterColumn colId="45" showButton="0"/>
    <filterColumn colId="46" showButton="0"/>
    <filterColumn colId="57" showButton="0"/>
    <filterColumn colId="58" showButton="0"/>
    <filterColumn colId="59" showButton="0"/>
    <filterColumn colId="64" showButton="0"/>
    <filterColumn colId="65" showButton="0"/>
    <filterColumn colId="66" showButton="0"/>
    <filterColumn colId="67" showButton="0"/>
    <filterColumn colId="68" showButton="0"/>
  </autoFilter>
  <mergeCells count="83">
    <mergeCell ref="X11:BN11"/>
    <mergeCell ref="BQ11:BR11"/>
    <mergeCell ref="O1:AI1"/>
    <mergeCell ref="C3:BR3"/>
    <mergeCell ref="BQ8:BR8"/>
    <mergeCell ref="BQ9:BR9"/>
    <mergeCell ref="BQ10:BR10"/>
    <mergeCell ref="X12:BN12"/>
    <mergeCell ref="BQ12:BR12"/>
    <mergeCell ref="Y13:BO13"/>
    <mergeCell ref="BQ13:BR13"/>
    <mergeCell ref="Y14:BO14"/>
    <mergeCell ref="BQ14:BR14"/>
    <mergeCell ref="C21:BT21"/>
    <mergeCell ref="A22:A24"/>
    <mergeCell ref="B22:B24"/>
    <mergeCell ref="C22:C24"/>
    <mergeCell ref="D22:D24"/>
    <mergeCell ref="E22:E24"/>
    <mergeCell ref="F22:F24"/>
    <mergeCell ref="G22:G24"/>
    <mergeCell ref="H22:H24"/>
    <mergeCell ref="I22:I24"/>
    <mergeCell ref="W22:Z22"/>
    <mergeCell ref="J22:J24"/>
    <mergeCell ref="K22:K24"/>
    <mergeCell ref="L22:L24"/>
    <mergeCell ref="M22:M24"/>
    <mergeCell ref="N22:N24"/>
    <mergeCell ref="O22:O24"/>
    <mergeCell ref="P22:P24"/>
    <mergeCell ref="Q22:Q24"/>
    <mergeCell ref="R22:R24"/>
    <mergeCell ref="U22:U24"/>
    <mergeCell ref="V22:V24"/>
    <mergeCell ref="AS22:AS24"/>
    <mergeCell ref="AA22:AA24"/>
    <mergeCell ref="AB22:AB24"/>
    <mergeCell ref="AC22:AC24"/>
    <mergeCell ref="AD22:AD24"/>
    <mergeCell ref="AE22:AH22"/>
    <mergeCell ref="AI22:AI24"/>
    <mergeCell ref="AJ22:AJ24"/>
    <mergeCell ref="AK22:AK24"/>
    <mergeCell ref="AL22:AL24"/>
    <mergeCell ref="AM22:AM24"/>
    <mergeCell ref="AR22:AR24"/>
    <mergeCell ref="BG23:BG24"/>
    <mergeCell ref="BH23:BH24"/>
    <mergeCell ref="BI23:BI24"/>
    <mergeCell ref="BJ23:BJ24"/>
    <mergeCell ref="AT22:AW22"/>
    <mergeCell ref="AX22:AX24"/>
    <mergeCell ref="AY22:AY24"/>
    <mergeCell ref="AZ22:AZ24"/>
    <mergeCell ref="BA22:BA24"/>
    <mergeCell ref="BB22:BB24"/>
    <mergeCell ref="AU23:AU24"/>
    <mergeCell ref="AV23:AV24"/>
    <mergeCell ref="AW23:AW24"/>
    <mergeCell ref="BN22:BT22"/>
    <mergeCell ref="W23:W24"/>
    <mergeCell ref="X23:X24"/>
    <mergeCell ref="Y23:Y24"/>
    <mergeCell ref="Z23:Z24"/>
    <mergeCell ref="AE23:AE24"/>
    <mergeCell ref="AF23:AF24"/>
    <mergeCell ref="AG23:AG24"/>
    <mergeCell ref="AH23:AH24"/>
    <mergeCell ref="AT23:AT24"/>
    <mergeCell ref="BE22:BE24"/>
    <mergeCell ref="BF22:BF24"/>
    <mergeCell ref="BG22:BJ22"/>
    <mergeCell ref="BK22:BK24"/>
    <mergeCell ref="BL22:BL24"/>
    <mergeCell ref="BM22:BM24"/>
    <mergeCell ref="BT23:BT24"/>
    <mergeCell ref="BN23:BN24"/>
    <mergeCell ref="BO23:BO24"/>
    <mergeCell ref="BP23:BP24"/>
    <mergeCell ref="BQ23:BQ24"/>
    <mergeCell ref="BR23:BR24"/>
    <mergeCell ref="BS23:BS24"/>
  </mergeCells>
  <pageMargins left="0.23622047244094491" right="0.23622047244094491" top="0.74803149606299213" bottom="0.74803149606299213" header="0.31496062992125984" footer="0.31496062992125984"/>
  <pageSetup paperSize="9" scale="71" orientation="landscape" r:id="rId1"/>
  <headerFooter differentFirst="1">
    <oddFooter>&amp;C&amp;"Arial,обычный"&amp;10&amp;P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для Титовой</vt:lpstr>
      <vt:lpstr>НА 16445585</vt:lpstr>
      <vt:lpstr>СВОД</vt:lpstr>
      <vt:lpstr>'НА 16445585'!Заголовки_для_печати</vt:lpstr>
      <vt:lpstr>СВОД!Заголовки_для_печати</vt:lpstr>
      <vt:lpstr>'НА 16445585'!Область_печати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2015-07-02T09:31:42Z</cp:lastPrinted>
  <dcterms:created xsi:type="dcterms:W3CDTF">2013-09-04T07:47:25Z</dcterms:created>
  <dcterms:modified xsi:type="dcterms:W3CDTF">2015-07-22T10:06:33Z</dcterms:modified>
</cp:coreProperties>
</file>